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theme/themeOverride7.xml" ContentType="application/vnd.openxmlformats-officedocument.themeOverride+xml"/>
  <Override PartName="/xl/drawings/drawing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3.xml" ContentType="application/vnd.openxmlformats-officedocument.drawing+xml"/>
  <Override PartName="/xl/charts/chart2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autoCompressPictures="0" defaultThemeVersion="124226"/>
  <bookViews>
    <workbookView xWindow="0" yWindow="240" windowWidth="10032" windowHeight="7848" tabRatio="890" firstSheet="2" activeTab="8"/>
  </bookViews>
  <sheets>
    <sheet name="Report Tables" sheetId="26" state="hidden" r:id="rId1"/>
    <sheet name="Report Graphs" sheetId="33" state="hidden" r:id="rId2"/>
    <sheet name="NEW Report Graphs and Tables" sheetId="45" r:id="rId3"/>
    <sheet name="Qualitative Uncertainty" sheetId="46" r:id="rId4"/>
    <sheet name="Mass Uncertainty" sheetId="48" r:id="rId5"/>
    <sheet name="Performance &amp; Economics" sheetId="31" r:id="rId6"/>
    <sheet name="CBS (CoE)" sheetId="23" r:id="rId7"/>
    <sheet name="CBS ($ per kW)" sheetId="22" r:id="rId8"/>
    <sheet name="CBS (Total)" sheetId="1" r:id="rId9"/>
    <sheet name="1.1" sheetId="2" r:id="rId10"/>
    <sheet name="1.2 (RM3)" sheetId="40" state="hidden" r:id="rId11"/>
    <sheet name="1.2" sheetId="3" r:id="rId12"/>
    <sheet name="1.3 (RM3)" sheetId="5" state="hidden" r:id="rId13"/>
    <sheet name="1.3" sheetId="35" r:id="rId14"/>
    <sheet name="1.4 (RM3)" sheetId="4" state="hidden" r:id="rId15"/>
    <sheet name="1.4" sheetId="34" r:id="rId16"/>
    <sheet name="1.5 (RM3)" sheetId="18" state="hidden" r:id="rId17"/>
    <sheet name="1.5" sheetId="37" r:id="rId18"/>
    <sheet name="1.6" sheetId="7" r:id="rId19"/>
    <sheet name="1.8" sheetId="27" r:id="rId20"/>
    <sheet name="1.7" sheetId="36" r:id="rId21"/>
    <sheet name="1.7 (RM3)" sheetId="8" state="hidden" r:id="rId22"/>
    <sheet name="1.9" sheetId="28" r:id="rId23"/>
    <sheet name="2.1" sheetId="11" r:id="rId24"/>
    <sheet name="2.2" sheetId="12" r:id="rId25"/>
    <sheet name="2.3" sheetId="13" r:id="rId26"/>
    <sheet name="2.4" sheetId="14" r:id="rId27"/>
    <sheet name="2.5 (RM3)" sheetId="41" state="hidden" r:id="rId28"/>
    <sheet name="2.5" sheetId="15" r:id="rId29"/>
    <sheet name="2.6" sheetId="16" r:id="rId30"/>
    <sheet name="ARL PTO Breakdown" sheetId="39" state="hidden" r:id="rId31"/>
  </sheets>
  <externalReferences>
    <externalReference r:id="rId32"/>
    <externalReference r:id="rId33"/>
    <externalReference r:id="rId34"/>
  </externalReferences>
  <definedNames>
    <definedName name="AnnArrayOMCost" localSheetId="10">#REF!</definedName>
    <definedName name="AnnArrayOMCost" localSheetId="13">#REF!</definedName>
    <definedName name="AnnArrayOMCost" localSheetId="15">#REF!</definedName>
    <definedName name="AnnArrayOMCost" localSheetId="17">#REF!</definedName>
    <definedName name="AnnArrayOMCost" localSheetId="20">#REF!</definedName>
    <definedName name="AnnArrayOMCost" localSheetId="27">#REF!</definedName>
    <definedName name="AnnArrayOMCost" localSheetId="4">#REF!</definedName>
    <definedName name="AnnArrayOMCost">#REF!</definedName>
    <definedName name="AnnArrayOutput" localSheetId="10">#REF!</definedName>
    <definedName name="AnnArrayOutput" localSheetId="13">#REF!</definedName>
    <definedName name="AnnArrayOutput" localSheetId="15">#REF!</definedName>
    <definedName name="AnnArrayOutput" localSheetId="17">#REF!</definedName>
    <definedName name="AnnArrayOutput" localSheetId="20">#REF!</definedName>
    <definedName name="AnnArrayOutput" localSheetId="27">#REF!</definedName>
    <definedName name="AnnArrayOutput" localSheetId="4">#REF!</definedName>
    <definedName name="AnnArrayOutput">#REF!</definedName>
    <definedName name="ArrayInstalledCost" localSheetId="10">#REF!</definedName>
    <definedName name="ArrayInstalledCost" localSheetId="13">#REF!</definedName>
    <definedName name="ArrayInstalledCost" localSheetId="15">#REF!</definedName>
    <definedName name="ArrayInstalledCost" localSheetId="17">#REF!</definedName>
    <definedName name="ArrayInstalledCost" localSheetId="20">#REF!</definedName>
    <definedName name="ArrayInstalledCost" localSheetId="27">#REF!</definedName>
    <definedName name="ArrayInstalledCost" localSheetId="4">#REF!</definedName>
    <definedName name="ArrayInstalledCost">#REF!</definedName>
    <definedName name="Avail">[1]Master!$K$6</definedName>
    <definedName name="Availability" localSheetId="10">#REF!</definedName>
    <definedName name="Availability" localSheetId="13">#REF!</definedName>
    <definedName name="Availability" localSheetId="15">#REF!</definedName>
    <definedName name="Availability" localSheetId="17">#REF!</definedName>
    <definedName name="Availability" localSheetId="20">#REF!</definedName>
    <definedName name="Availability" localSheetId="27">#REF!</definedName>
    <definedName name="Availability" localSheetId="4">#REF!</definedName>
    <definedName name="Availability">#REF!</definedName>
    <definedName name="AvgCurrentSpeedSurface" localSheetId="10">#REF!</definedName>
    <definedName name="AvgCurrentSpeedSurface" localSheetId="13">#REF!</definedName>
    <definedName name="AvgCurrentSpeedSurface" localSheetId="15">#REF!</definedName>
    <definedName name="AvgCurrentSpeedSurface" localSheetId="17">#REF!</definedName>
    <definedName name="AvgCurrentSpeedSurface" localSheetId="20">#REF!</definedName>
    <definedName name="AvgCurrentSpeedSurface" localSheetId="27">#REF!</definedName>
    <definedName name="AvgCurrentSpeedSurface" localSheetId="4">#REF!</definedName>
    <definedName name="AvgCurrentSpeedSurface">#REF!</definedName>
    <definedName name="AvgPowerFluxSurface" localSheetId="10">#REF!</definedName>
    <definedName name="AvgPowerFluxSurface" localSheetId="13">#REF!</definedName>
    <definedName name="AvgPowerFluxSurface" localSheetId="15">#REF!</definedName>
    <definedName name="AvgPowerFluxSurface" localSheetId="17">#REF!</definedName>
    <definedName name="AvgPowerFluxSurface" localSheetId="20">#REF!</definedName>
    <definedName name="AvgPowerFluxSurface" localSheetId="27">#REF!</definedName>
    <definedName name="AvgPowerFluxSurface" localSheetId="4">#REF!</definedName>
    <definedName name="AvgPowerFluxSurface">#REF!</definedName>
    <definedName name="AvgProgRatio" localSheetId="10">#REF!</definedName>
    <definedName name="AvgProgRatio" localSheetId="13">#REF!</definedName>
    <definedName name="AvgProgRatio" localSheetId="15">#REF!</definedName>
    <definedName name="AvgProgRatio" localSheetId="17">#REF!</definedName>
    <definedName name="AvgProgRatio" localSheetId="20">#REF!</definedName>
    <definedName name="AvgProgRatio" localSheetId="27">#REF!</definedName>
    <definedName name="AvgProgRatio" localSheetId="4">#REF!</definedName>
    <definedName name="AvgProgRatio">#REF!</definedName>
    <definedName name="CableLen">[1]Master!$K$11</definedName>
    <definedName name="Capex" localSheetId="10">#REF!</definedName>
    <definedName name="Capex" localSheetId="13">#REF!</definedName>
    <definedName name="Capex" localSheetId="15">#REF!</definedName>
    <definedName name="Capex" localSheetId="17">#REF!</definedName>
    <definedName name="Capex" localSheetId="20">#REF!</definedName>
    <definedName name="Capex" localSheetId="27">#REF!</definedName>
    <definedName name="Capex" localSheetId="4">#REF!</definedName>
    <definedName name="Capex">#REF!</definedName>
    <definedName name="CapFactor" localSheetId="10">#REF!</definedName>
    <definedName name="CapFactor" localSheetId="13">#REF!</definedName>
    <definedName name="CapFactor" localSheetId="15">#REF!</definedName>
    <definedName name="CapFactor" localSheetId="17">#REF!</definedName>
    <definedName name="CapFactor" localSheetId="20">#REF!</definedName>
    <definedName name="CapFactor" localSheetId="27">#REF!</definedName>
    <definedName name="CapFactor" localSheetId="4">#REF!</definedName>
    <definedName name="CapFactor">#REF!</definedName>
    <definedName name="Clearance" localSheetId="10">#REF!</definedName>
    <definedName name="Clearance" localSheetId="13">#REF!</definedName>
    <definedName name="Clearance" localSheetId="15">#REF!</definedName>
    <definedName name="Clearance" localSheetId="17">#REF!</definedName>
    <definedName name="Clearance" localSheetId="20">#REF!</definedName>
    <definedName name="Clearance" localSheetId="27">#REF!</definedName>
    <definedName name="Clearance" localSheetId="4">#REF!</definedName>
    <definedName name="Clearance">#REF!</definedName>
    <definedName name="COEReal" localSheetId="10">#REF!</definedName>
    <definedName name="COEReal" localSheetId="13">#REF!</definedName>
    <definedName name="COEReal" localSheetId="15">#REF!</definedName>
    <definedName name="COEReal" localSheetId="17">#REF!</definedName>
    <definedName name="COEReal" localSheetId="20">#REF!</definedName>
    <definedName name="COEReal" localSheetId="27">#REF!</definedName>
    <definedName name="COEReal" localSheetId="4">#REF!</definedName>
    <definedName name="COEReal">#REF!</definedName>
    <definedName name="CRF" localSheetId="10">#REF!</definedName>
    <definedName name="CRF" localSheetId="13">#REF!</definedName>
    <definedName name="CRF" localSheetId="15">#REF!</definedName>
    <definedName name="CRF" localSheetId="17">#REF!</definedName>
    <definedName name="CRF" localSheetId="20">#REF!</definedName>
    <definedName name="CRF" localSheetId="27">#REF!</definedName>
    <definedName name="CRF" localSheetId="4">#REF!</definedName>
    <definedName name="CRF">#REF!</definedName>
    <definedName name="CurrentSenario" localSheetId="10">#REF!</definedName>
    <definedName name="CurrentSenario" localSheetId="13">#REF!</definedName>
    <definedName name="CurrentSenario" localSheetId="15">#REF!</definedName>
    <definedName name="CurrentSenario" localSheetId="17">#REF!</definedName>
    <definedName name="CurrentSenario" localSheetId="20">#REF!</definedName>
    <definedName name="CurrentSenario" localSheetId="27">#REF!</definedName>
    <definedName name="CurrentSenario" localSheetId="4">#REF!</definedName>
    <definedName name="CurrentSenario">#REF!</definedName>
    <definedName name="CutinSpeed">[1]Master!$E$12</definedName>
    <definedName name="DeviceOrientation" localSheetId="10">#REF!</definedName>
    <definedName name="DeviceOrientation" localSheetId="13">#REF!</definedName>
    <definedName name="DeviceOrientation" localSheetId="15">#REF!</definedName>
    <definedName name="DeviceOrientation" localSheetId="17">#REF!</definedName>
    <definedName name="DeviceOrientation" localSheetId="20">#REF!</definedName>
    <definedName name="DeviceOrientation" localSheetId="27">#REF!</definedName>
    <definedName name="DeviceOrientation" localSheetId="4">#REF!</definedName>
    <definedName name="DeviceOrientation">#REF!</definedName>
    <definedName name="DuctClearance" localSheetId="10">#REF!</definedName>
    <definedName name="DuctClearance" localSheetId="13">#REF!</definedName>
    <definedName name="DuctClearance" localSheetId="15">#REF!</definedName>
    <definedName name="DuctClearance" localSheetId="17">#REF!</definedName>
    <definedName name="DuctClearance" localSheetId="20">#REF!</definedName>
    <definedName name="DuctClearance" localSheetId="27">#REF!</definedName>
    <definedName name="DuctClearance" localSheetId="4">#REF!</definedName>
    <definedName name="DuctClearance">#REF!</definedName>
    <definedName name="Grid" localSheetId="10">#REF!</definedName>
    <definedName name="Grid" localSheetId="13">#REF!</definedName>
    <definedName name="Grid" localSheetId="15">#REF!</definedName>
    <definedName name="Grid" localSheetId="17">#REF!</definedName>
    <definedName name="Grid" localSheetId="20">#REF!</definedName>
    <definedName name="Grid" localSheetId="27">#REF!</definedName>
    <definedName name="Grid" localSheetId="4">#REF!</definedName>
    <definedName name="Grid">#REF!</definedName>
    <definedName name="HubHeight">[1]Master!$E$10</definedName>
    <definedName name="IRR" localSheetId="10">#REF!</definedName>
    <definedName name="IRR" localSheetId="13">#REF!</definedName>
    <definedName name="IRR" localSheetId="15">#REF!</definedName>
    <definedName name="IRR" localSheetId="17">#REF!</definedName>
    <definedName name="IRR" localSheetId="20">#REF!</definedName>
    <definedName name="IRR" localSheetId="27">#REF!</definedName>
    <definedName name="IRR" localSheetId="4">#REF!</definedName>
    <definedName name="IRR">#REF!</definedName>
    <definedName name="JnctBox">[1]Master!$K$13</definedName>
    <definedName name="MonoSep">[1]Master!$K$4</definedName>
    <definedName name="nomdisc" localSheetId="10">#REF!</definedName>
    <definedName name="nomdisc" localSheetId="13">#REF!</definedName>
    <definedName name="nomdisc" localSheetId="15">#REF!</definedName>
    <definedName name="nomdisc" localSheetId="17">#REF!</definedName>
    <definedName name="nomdisc" localSheetId="20">#REF!</definedName>
    <definedName name="nomdisc" localSheetId="27">#REF!</definedName>
    <definedName name="nomdisc" localSheetId="4">#REF!</definedName>
    <definedName name="nomdisc">#REF!</definedName>
    <definedName name="Nominal_CR">[1]Master!$T$5</definedName>
    <definedName name="NumTurbines" localSheetId="10">#REF!</definedName>
    <definedName name="NumTurbines" localSheetId="13">#REF!</definedName>
    <definedName name="NumTurbines" localSheetId="15">#REF!</definedName>
    <definedName name="NumTurbines" localSheetId="17">#REF!</definedName>
    <definedName name="NumTurbines" localSheetId="20">#REF!</definedName>
    <definedName name="NumTurbines" localSheetId="27">#REF!</definedName>
    <definedName name="NumTurbines" localSheetId="4">#REF!</definedName>
    <definedName name="NumTurbines">#REF!</definedName>
    <definedName name="ProgRatio" localSheetId="10">#REF!</definedName>
    <definedName name="ProgRatio" localSheetId="13">#REF!</definedName>
    <definedName name="ProgRatio" localSheetId="15">#REF!</definedName>
    <definedName name="ProgRatio" localSheetId="17">#REF!</definedName>
    <definedName name="ProgRatio" localSheetId="20">#REF!</definedName>
    <definedName name="ProgRatio" localSheetId="27">#REF!</definedName>
    <definedName name="ProgRatio" localSheetId="4">#REF!</definedName>
    <definedName name="ProgRatio">#REF!</definedName>
    <definedName name="RatedSpeed" localSheetId="10">#REF!</definedName>
    <definedName name="RatedSpeed" localSheetId="13">#REF!</definedName>
    <definedName name="RatedSpeed" localSheetId="15">#REF!</definedName>
    <definedName name="RatedSpeed" localSheetId="17">#REF!</definedName>
    <definedName name="RatedSpeed" localSheetId="20">#REF!</definedName>
    <definedName name="RatedSpeed" localSheetId="27">#REF!</definedName>
    <definedName name="RatedSpeed" localSheetId="4">#REF!</definedName>
    <definedName name="RatedSpeed">#REF!</definedName>
    <definedName name="Real_CR">[1]Master!$T$4</definedName>
    <definedName name="realdisc" localSheetId="10">#REF!</definedName>
    <definedName name="realdisc" localSheetId="13">#REF!</definedName>
    <definedName name="realdisc" localSheetId="15">#REF!</definedName>
    <definedName name="realdisc" localSheetId="17">#REF!</definedName>
    <definedName name="realdisc" localSheetId="20">#REF!</definedName>
    <definedName name="realdisc" localSheetId="27">#REF!</definedName>
    <definedName name="realdisc" localSheetId="4">#REF!</definedName>
    <definedName name="realdisc">#REF!</definedName>
    <definedName name="RefCurrency" localSheetId="10">#REF!</definedName>
    <definedName name="RefCurrency" localSheetId="13">#REF!</definedName>
    <definedName name="RefCurrency" localSheetId="15">#REF!</definedName>
    <definedName name="RefCurrency" localSheetId="17">#REF!</definedName>
    <definedName name="RefCurrency" localSheetId="20">#REF!</definedName>
    <definedName name="RefCurrency" localSheetId="27">#REF!</definedName>
    <definedName name="RefCurrency" localSheetId="4">#REF!</definedName>
    <definedName name="RefCurrency">#REF!</definedName>
    <definedName name="RefYear" localSheetId="10">#REF!</definedName>
    <definedName name="RefYear" localSheetId="13">#REF!</definedName>
    <definedName name="RefYear" localSheetId="15">#REF!</definedName>
    <definedName name="RefYear" localSheetId="17">#REF!</definedName>
    <definedName name="RefYear" localSheetId="20">#REF!</definedName>
    <definedName name="RefYear" localSheetId="27">#REF!</definedName>
    <definedName name="RefYear" localSheetId="4">#REF!</definedName>
    <definedName name="RefYear">#REF!</definedName>
    <definedName name="rho">[2]Master!$B$2</definedName>
    <definedName name="RotorD" localSheetId="10">#REF!</definedName>
    <definedName name="RotorD" localSheetId="13">#REF!</definedName>
    <definedName name="RotorD" localSheetId="15">#REF!</definedName>
    <definedName name="RotorD" localSheetId="17">#REF!</definedName>
    <definedName name="RotorD" localSheetId="20">#REF!</definedName>
    <definedName name="RotorD" localSheetId="27">#REF!</definedName>
    <definedName name="RotorD" localSheetId="4">#REF!</definedName>
    <definedName name="RotorD">#REF!</definedName>
    <definedName name="RotorEff">[1]Master!$E$11</definedName>
    <definedName name="S1_ValueName1" localSheetId="10">#REF!</definedName>
    <definedName name="S1_ValueName1" localSheetId="13">#REF!</definedName>
    <definedName name="S1_ValueName1" localSheetId="15">#REF!</definedName>
    <definedName name="S1_ValueName1" localSheetId="17">#REF!</definedName>
    <definedName name="S1_ValueName1" localSheetId="20">#REF!</definedName>
    <definedName name="S1_ValueName1" localSheetId="27">#REF!</definedName>
    <definedName name="S1_ValueName1" localSheetId="4">#REF!</definedName>
    <definedName name="S1_ValueName1">#REF!</definedName>
    <definedName name="Senarios" localSheetId="10">#REF!</definedName>
    <definedName name="Senarios" localSheetId="13">#REF!</definedName>
    <definedName name="Senarios" localSheetId="15">#REF!</definedName>
    <definedName name="Senarios" localSheetId="17">#REF!</definedName>
    <definedName name="Senarios" localSheetId="20">#REF!</definedName>
    <definedName name="Senarios" localSheetId="27">#REF!</definedName>
    <definedName name="Senarios" localSheetId="4">#REF!</definedName>
    <definedName name="Senarios">#REF!</definedName>
    <definedName name="ShoreProtect" localSheetId="10">#REF!</definedName>
    <definedName name="ShoreProtect" localSheetId="13">#REF!</definedName>
    <definedName name="ShoreProtect" localSheetId="15">#REF!</definedName>
    <definedName name="ShoreProtect" localSheetId="17">#REF!</definedName>
    <definedName name="ShoreProtect" localSheetId="20">#REF!</definedName>
    <definedName name="ShoreProtect" localSheetId="27">#REF!</definedName>
    <definedName name="ShoreProtect" localSheetId="4">#REF!</definedName>
    <definedName name="ShoreProtect">#REF!</definedName>
    <definedName name="Site_Selection">[3]Inputs!$E$10</definedName>
    <definedName name="Site_Spectral_Parameter">[3]Inputs!$E$11</definedName>
    <definedName name="solver_cvg" localSheetId="5" hidden="1">0.0001</definedName>
    <definedName name="solver_drv" localSheetId="5" hidden="1">1</definedName>
    <definedName name="solver_est" localSheetId="5" hidden="1">1</definedName>
    <definedName name="solver_itr" localSheetId="5" hidden="1">100</definedName>
    <definedName name="solver_lhs1" localSheetId="5" hidden="1">'Performance &amp; Economics'!#REF!</definedName>
    <definedName name="solver_lhs2" localSheetId="5" hidden="1">'Performance &amp; Economics'!#REF!</definedName>
    <definedName name="solver_lin" localSheetId="5" hidden="1">2</definedName>
    <definedName name="solver_neg" localSheetId="5" hidden="1">2</definedName>
    <definedName name="solver_num" localSheetId="5" hidden="1">0</definedName>
    <definedName name="solver_nwt" localSheetId="5" hidden="1">1</definedName>
    <definedName name="solver_pre" localSheetId="5" hidden="1">0.001</definedName>
    <definedName name="solver_rel1" localSheetId="5" hidden="1">1</definedName>
    <definedName name="solver_rel2" localSheetId="5" hidden="1">3</definedName>
    <definedName name="solver_rhs1" localSheetId="5" hidden="1">360</definedName>
    <definedName name="solver_rhs2" localSheetId="5" hidden="1">0</definedName>
    <definedName name="solver_scl" localSheetId="5" hidden="1">2</definedName>
    <definedName name="solver_sho" localSheetId="5" hidden="1">2</definedName>
    <definedName name="solver_tim" localSheetId="5" hidden="1">100</definedName>
    <definedName name="solver_tol" localSheetId="5" hidden="1">0.05</definedName>
    <definedName name="solver_typ" localSheetId="5" hidden="1">1</definedName>
    <definedName name="solver_val" localSheetId="5" hidden="1">0</definedName>
    <definedName name="SVTable1" localSheetId="10">#REF!</definedName>
    <definedName name="SVTable1" localSheetId="13">#REF!</definedName>
    <definedName name="SVTable1" localSheetId="15">#REF!</definedName>
    <definedName name="SVTable1" localSheetId="17">#REF!</definedName>
    <definedName name="SVTable1" localSheetId="20">#REF!</definedName>
    <definedName name="SVTable1" localSheetId="27">#REF!</definedName>
    <definedName name="SVTable1" localSheetId="4">#REF!</definedName>
    <definedName name="SVTable1">#REF!</definedName>
    <definedName name="TranUpgrade" localSheetId="10">#REF!</definedName>
    <definedName name="TranUpgrade" localSheetId="13">#REF!</definedName>
    <definedName name="TranUpgrade" localSheetId="15">#REF!</definedName>
    <definedName name="TranUpgrade" localSheetId="17">#REF!</definedName>
    <definedName name="TranUpgrade" localSheetId="20">#REF!</definedName>
    <definedName name="TranUpgrade" localSheetId="27">#REF!</definedName>
    <definedName name="TranUpgrade" localSheetId="4">#REF!</definedName>
    <definedName name="TranUpgrade">#REF!</definedName>
    <definedName name="TrenchDist">[1]Master!$K$9</definedName>
    <definedName name="TurbineCapital" localSheetId="10">#REF!</definedName>
    <definedName name="TurbineCapital" localSheetId="13">#REF!</definedName>
    <definedName name="TurbineCapital" localSheetId="15">#REF!</definedName>
    <definedName name="TurbineCapital" localSheetId="17">#REF!</definedName>
    <definedName name="TurbineCapital" localSheetId="20">#REF!</definedName>
    <definedName name="TurbineCapital" localSheetId="27">#REF!</definedName>
    <definedName name="TurbineCapital" localSheetId="4">#REF!</definedName>
    <definedName name="TurbineCapital">#REF!</definedName>
    <definedName name="VelFactor" localSheetId="10">#REF!</definedName>
    <definedName name="VelFactor" localSheetId="13">#REF!</definedName>
    <definedName name="VelFactor" localSheetId="15">#REF!</definedName>
    <definedName name="VelFactor" localSheetId="17">#REF!</definedName>
    <definedName name="VelFactor" localSheetId="20">#REF!</definedName>
    <definedName name="VelFactor" localSheetId="27">#REF!</definedName>
    <definedName name="VelFactor" localSheetId="4">#REF!</definedName>
    <definedName name="VelFactor">#REF!</definedName>
    <definedName name="WaterDepth" localSheetId="10">#REF!</definedName>
    <definedName name="WaterDepth" localSheetId="13">#REF!</definedName>
    <definedName name="WaterDepth" localSheetId="15">#REF!</definedName>
    <definedName name="WaterDepth" localSheetId="17">#REF!</definedName>
    <definedName name="WaterDepth" localSheetId="20">#REF!</definedName>
    <definedName name="WaterDepth" localSheetId="27">#REF!</definedName>
    <definedName name="WaterDepth" localSheetId="4">#REF!</definedName>
    <definedName name="WaterDepth">#REF!</definedName>
  </definedNames>
  <calcPr calcId="145621"/>
</workbook>
</file>

<file path=xl/calcChain.xml><?xml version="1.0" encoding="utf-8"?>
<calcChain xmlns="http://schemas.openxmlformats.org/spreadsheetml/2006/main">
  <c r="T63" i="48" l="1"/>
  <c r="L64" i="23"/>
  <c r="L63" i="48"/>
  <c r="U60" i="48"/>
  <c r="V60" i="48"/>
  <c r="W60" i="48"/>
  <c r="X60" i="48"/>
  <c r="T60" i="48"/>
  <c r="T50" i="48"/>
  <c r="U53" i="48"/>
  <c r="V53" i="48" s="1"/>
  <c r="W53" i="48" s="1"/>
  <c r="X53" i="48" s="1"/>
  <c r="U54" i="48"/>
  <c r="V54" i="48" s="1"/>
  <c r="W54" i="48" s="1"/>
  <c r="X54" i="48" s="1"/>
  <c r="U55" i="48"/>
  <c r="V55" i="48"/>
  <c r="W55" i="48" s="1"/>
  <c r="X55" i="48" s="1"/>
  <c r="U56" i="48"/>
  <c r="V56" i="48"/>
  <c r="W56" i="48"/>
  <c r="X56" i="48" s="1"/>
  <c r="U57" i="48"/>
  <c r="V57" i="48" s="1"/>
  <c r="W57" i="48" s="1"/>
  <c r="X57" i="48" s="1"/>
  <c r="U58" i="48"/>
  <c r="V58" i="48" s="1"/>
  <c r="W58" i="48" s="1"/>
  <c r="X58" i="48" s="1"/>
  <c r="U52" i="48"/>
  <c r="V52" i="48" s="1"/>
  <c r="W52" i="48" s="1"/>
  <c r="X52" i="48" s="1"/>
  <c r="T53" i="48"/>
  <c r="T54" i="48"/>
  <c r="T55" i="48"/>
  <c r="T56" i="48"/>
  <c r="T57" i="48"/>
  <c r="T58" i="48"/>
  <c r="T52" i="48"/>
  <c r="U30" i="48"/>
  <c r="V30" i="48"/>
  <c r="W30" i="48"/>
  <c r="X30" i="48"/>
  <c r="U31" i="48"/>
  <c r="V31" i="48"/>
  <c r="W31" i="48"/>
  <c r="X31" i="48"/>
  <c r="U32" i="48"/>
  <c r="V32" i="48"/>
  <c r="W32" i="48"/>
  <c r="X32" i="48"/>
  <c r="U33" i="48"/>
  <c r="V33" i="48"/>
  <c r="W33" i="48"/>
  <c r="X33" i="48"/>
  <c r="U34" i="48"/>
  <c r="V34" i="48"/>
  <c r="W34" i="48"/>
  <c r="X34" i="48"/>
  <c r="U35" i="48"/>
  <c r="V35" i="48"/>
  <c r="W35" i="48"/>
  <c r="X35" i="48"/>
  <c r="U36" i="48"/>
  <c r="V36" i="48"/>
  <c r="W36" i="48"/>
  <c r="X36" i="48"/>
  <c r="U37" i="48"/>
  <c r="V37" i="48"/>
  <c r="W37" i="48"/>
  <c r="X37" i="48"/>
  <c r="U38" i="48"/>
  <c r="V38" i="48"/>
  <c r="W38" i="48"/>
  <c r="X38" i="48"/>
  <c r="U39" i="48"/>
  <c r="V39" i="48" s="1"/>
  <c r="W39" i="48" s="1"/>
  <c r="X39" i="48" s="1"/>
  <c r="U40" i="48"/>
  <c r="V40" i="48"/>
  <c r="W40" i="48" s="1"/>
  <c r="X40" i="48" s="1"/>
  <c r="U41" i="48"/>
  <c r="V41" i="48"/>
  <c r="W41" i="48"/>
  <c r="X41" i="48"/>
  <c r="U42" i="48"/>
  <c r="V42" i="48"/>
  <c r="W42" i="48"/>
  <c r="X42" i="48"/>
  <c r="U43" i="48"/>
  <c r="V43" i="48"/>
  <c r="W43" i="48"/>
  <c r="X43" i="48"/>
  <c r="U44" i="48"/>
  <c r="V44" i="48"/>
  <c r="W44" i="48"/>
  <c r="X44" i="48"/>
  <c r="U45" i="48"/>
  <c r="V45" i="48"/>
  <c r="W45" i="48"/>
  <c r="X45" i="48"/>
  <c r="U46" i="48"/>
  <c r="V46" i="48"/>
  <c r="W46" i="48"/>
  <c r="X46" i="48"/>
  <c r="U47" i="48"/>
  <c r="V47" i="48" s="1"/>
  <c r="W47" i="48" s="1"/>
  <c r="X47" i="48" s="1"/>
  <c r="U48" i="48"/>
  <c r="V48" i="48" s="1"/>
  <c r="W48" i="48" s="1"/>
  <c r="X48" i="48" s="1"/>
  <c r="U29" i="48"/>
  <c r="V29" i="48" s="1"/>
  <c r="W29" i="48" s="1"/>
  <c r="X29" i="48" s="1"/>
  <c r="U5" i="48"/>
  <c r="V5" i="48"/>
  <c r="W5" i="48"/>
  <c r="X5" i="48" s="1"/>
  <c r="U6" i="48"/>
  <c r="V6" i="48"/>
  <c r="W6" i="48"/>
  <c r="X6" i="48" s="1"/>
  <c r="U7" i="48"/>
  <c r="V7" i="48"/>
  <c r="W7" i="48"/>
  <c r="X7" i="48" s="1"/>
  <c r="U8" i="48"/>
  <c r="V8" i="48"/>
  <c r="W8" i="48"/>
  <c r="X8" i="48" s="1"/>
  <c r="U9" i="48"/>
  <c r="V9" i="48"/>
  <c r="W9" i="48"/>
  <c r="X9" i="48" s="1"/>
  <c r="U10" i="48"/>
  <c r="V10" i="48"/>
  <c r="W10" i="48"/>
  <c r="X10" i="48" s="1"/>
  <c r="U11" i="48"/>
  <c r="V11" i="48"/>
  <c r="W11" i="48"/>
  <c r="X11" i="48" s="1"/>
  <c r="U12" i="48"/>
  <c r="V12" i="48" s="1"/>
  <c r="W12" i="48" s="1"/>
  <c r="X12" i="48" s="1"/>
  <c r="U13" i="48"/>
  <c r="V13" i="48"/>
  <c r="W13" i="48"/>
  <c r="X13" i="48" s="1"/>
  <c r="U14" i="48"/>
  <c r="V14" i="48"/>
  <c r="W14" i="48"/>
  <c r="X14" i="48" s="1"/>
  <c r="U15" i="48"/>
  <c r="V15" i="48"/>
  <c r="W15" i="48"/>
  <c r="X15" i="48" s="1"/>
  <c r="U16" i="48"/>
  <c r="V16" i="48"/>
  <c r="W16" i="48"/>
  <c r="X16" i="48" s="1"/>
  <c r="U17" i="48"/>
  <c r="V17" i="48"/>
  <c r="W17" i="48"/>
  <c r="X17" i="48" s="1"/>
  <c r="U18" i="48"/>
  <c r="V18" i="48"/>
  <c r="W18" i="48" s="1"/>
  <c r="X18" i="48" s="1"/>
  <c r="U19" i="48"/>
  <c r="V19" i="48"/>
  <c r="W19" i="48"/>
  <c r="X19" i="48" s="1"/>
  <c r="U20" i="48"/>
  <c r="V20" i="48"/>
  <c r="W20" i="48"/>
  <c r="X20" i="48" s="1"/>
  <c r="U21" i="48"/>
  <c r="V21" i="48"/>
  <c r="W21" i="48"/>
  <c r="X21" i="48" s="1"/>
  <c r="U22" i="48"/>
  <c r="V22" i="48"/>
  <c r="W22" i="48"/>
  <c r="X22" i="48" s="1"/>
  <c r="U23" i="48"/>
  <c r="V23" i="48"/>
  <c r="W23" i="48"/>
  <c r="X23" i="48" s="1"/>
  <c r="W27" i="48"/>
  <c r="X28" i="48"/>
  <c r="V26" i="48"/>
  <c r="W26" i="48"/>
  <c r="X26" i="48"/>
  <c r="V27" i="48"/>
  <c r="X27" i="48"/>
  <c r="V28" i="48"/>
  <c r="W28" i="48"/>
  <c r="X25" i="48"/>
  <c r="W25" i="48"/>
  <c r="V25" i="48"/>
  <c r="U25" i="48"/>
  <c r="U26" i="48"/>
  <c r="U27" i="48"/>
  <c r="U28" i="48"/>
  <c r="U4" i="48"/>
  <c r="V4" i="48" s="1"/>
  <c r="W4" i="48" s="1"/>
  <c r="X4" i="48" s="1"/>
  <c r="T4" i="48"/>
  <c r="T5" i="48"/>
  <c r="T6" i="48"/>
  <c r="T7" i="48"/>
  <c r="T8" i="48"/>
  <c r="T9" i="48"/>
  <c r="T10" i="48"/>
  <c r="T11" i="48"/>
  <c r="T12" i="48"/>
  <c r="T13" i="48"/>
  <c r="T14" i="48"/>
  <c r="T15" i="48"/>
  <c r="T16" i="48"/>
  <c r="T17" i="48"/>
  <c r="T18" i="48"/>
  <c r="T19" i="48"/>
  <c r="T20" i="48"/>
  <c r="T21" i="48"/>
  <c r="T22" i="48"/>
  <c r="T23" i="48"/>
  <c r="T24" i="48"/>
  <c r="T25" i="48"/>
  <c r="T26" i="48"/>
  <c r="T27" i="48"/>
  <c r="T28" i="48"/>
  <c r="T29" i="48"/>
  <c r="T30" i="48"/>
  <c r="T31" i="48"/>
  <c r="T32" i="48"/>
  <c r="T33" i="48"/>
  <c r="T34" i="48"/>
  <c r="T35" i="48"/>
  <c r="T36" i="48"/>
  <c r="T37" i="48"/>
  <c r="T38" i="48"/>
  <c r="T39" i="48"/>
  <c r="T40" i="48"/>
  <c r="T41" i="48"/>
  <c r="T42" i="48"/>
  <c r="T43" i="48"/>
  <c r="T44" i="48"/>
  <c r="T45" i="48"/>
  <c r="T46" i="48"/>
  <c r="T47" i="48"/>
  <c r="T48" i="48"/>
  <c r="U24" i="48" l="1"/>
  <c r="U50" i="48" s="1"/>
  <c r="U63" i="48" s="1"/>
  <c r="W24" i="48"/>
  <c r="W50" i="48" s="1"/>
  <c r="W63" i="48" s="1"/>
  <c r="X24" i="48"/>
  <c r="X50" i="48" s="1"/>
  <c r="X63" i="48" s="1"/>
  <c r="V24" i="48"/>
  <c r="V50" i="48" s="1"/>
  <c r="V63" i="48" s="1"/>
  <c r="P63" i="48" l="1"/>
  <c r="N63" i="48"/>
  <c r="J63" i="48"/>
  <c r="P58" i="48"/>
  <c r="N58" i="48"/>
  <c r="L58" i="48"/>
  <c r="J58" i="48"/>
  <c r="P57" i="48"/>
  <c r="N57" i="48"/>
  <c r="L57" i="48"/>
  <c r="J57" i="48"/>
  <c r="P56" i="48"/>
  <c r="N56" i="48"/>
  <c r="L56" i="48"/>
  <c r="J56" i="48"/>
  <c r="P55" i="48"/>
  <c r="N55" i="48"/>
  <c r="L55" i="48"/>
  <c r="J55" i="48"/>
  <c r="P54" i="48"/>
  <c r="N54" i="48"/>
  <c r="L54" i="48"/>
  <c r="J54" i="48"/>
  <c r="P53" i="48"/>
  <c r="N53" i="48"/>
  <c r="L53" i="48"/>
  <c r="J53" i="48"/>
  <c r="P52" i="48"/>
  <c r="N52" i="48"/>
  <c r="N60" i="48" s="1"/>
  <c r="L52" i="48"/>
  <c r="J52" i="48"/>
  <c r="J60" i="48" s="1"/>
  <c r="P46" i="48"/>
  <c r="N46" i="48"/>
  <c r="L46" i="48"/>
  <c r="J46" i="48"/>
  <c r="D46" i="48"/>
  <c r="P45" i="48"/>
  <c r="N45" i="48"/>
  <c r="L45" i="48"/>
  <c r="J45" i="48"/>
  <c r="D45" i="48"/>
  <c r="P44" i="48"/>
  <c r="N44" i="48"/>
  <c r="L44" i="48"/>
  <c r="J44" i="48"/>
  <c r="D44" i="48"/>
  <c r="P43" i="48"/>
  <c r="N43" i="48"/>
  <c r="L43" i="48"/>
  <c r="J43" i="48"/>
  <c r="D43" i="48"/>
  <c r="P42" i="48"/>
  <c r="N42" i="48"/>
  <c r="L42" i="48"/>
  <c r="J42" i="48"/>
  <c r="D42" i="48"/>
  <c r="P41" i="48"/>
  <c r="N41" i="48"/>
  <c r="L41" i="48"/>
  <c r="J41" i="48"/>
  <c r="D41" i="48"/>
  <c r="P39" i="48"/>
  <c r="N39" i="48"/>
  <c r="L39" i="48"/>
  <c r="J39" i="48"/>
  <c r="P38" i="48"/>
  <c r="N38" i="48"/>
  <c r="L38" i="48"/>
  <c r="J38" i="48"/>
  <c r="I38" i="48"/>
  <c r="D38" i="48"/>
  <c r="P37" i="48"/>
  <c r="N37" i="48"/>
  <c r="L37" i="48"/>
  <c r="J37" i="48"/>
  <c r="I37" i="48"/>
  <c r="D37" i="48"/>
  <c r="P36" i="48"/>
  <c r="N36" i="48"/>
  <c r="L36" i="48"/>
  <c r="J36" i="48"/>
  <c r="I36" i="48"/>
  <c r="D36" i="48"/>
  <c r="P35" i="48"/>
  <c r="N35" i="48"/>
  <c r="L35" i="48"/>
  <c r="J35" i="48"/>
  <c r="I35" i="48"/>
  <c r="D35" i="48"/>
  <c r="P34" i="48"/>
  <c r="N34" i="48"/>
  <c r="L34" i="48"/>
  <c r="J34" i="48"/>
  <c r="I34" i="48"/>
  <c r="D34" i="48"/>
  <c r="P33" i="48"/>
  <c r="N33" i="48"/>
  <c r="L33" i="48"/>
  <c r="J33" i="48"/>
  <c r="I33" i="48"/>
  <c r="D33" i="48"/>
  <c r="P32" i="48"/>
  <c r="N32" i="48"/>
  <c r="L32" i="48"/>
  <c r="J32" i="48"/>
  <c r="I32" i="48"/>
  <c r="D32" i="48"/>
  <c r="P31" i="48"/>
  <c r="N31" i="48"/>
  <c r="L31" i="48"/>
  <c r="J31" i="48"/>
  <c r="I31" i="48"/>
  <c r="D31" i="48"/>
  <c r="P30" i="48"/>
  <c r="N30" i="48"/>
  <c r="L30" i="48"/>
  <c r="J30" i="48"/>
  <c r="I30" i="48"/>
  <c r="D30" i="48"/>
  <c r="N29" i="48"/>
  <c r="J29" i="48"/>
  <c r="I29" i="48"/>
  <c r="I50" i="48" s="1"/>
  <c r="P28" i="48"/>
  <c r="N28" i="48"/>
  <c r="L28" i="48"/>
  <c r="J28" i="48"/>
  <c r="I28" i="48"/>
  <c r="D28" i="48"/>
  <c r="P27" i="48"/>
  <c r="N27" i="48"/>
  <c r="L27" i="48"/>
  <c r="J27" i="48"/>
  <c r="I27" i="48"/>
  <c r="D27" i="48"/>
  <c r="P26" i="48"/>
  <c r="N26" i="48"/>
  <c r="L26" i="48"/>
  <c r="J26" i="48"/>
  <c r="I26" i="48"/>
  <c r="D26" i="48"/>
  <c r="P25" i="48"/>
  <c r="N25" i="48"/>
  <c r="L25" i="48"/>
  <c r="J25" i="48"/>
  <c r="I25" i="48"/>
  <c r="D25" i="48"/>
  <c r="P24" i="48"/>
  <c r="N24" i="48"/>
  <c r="L24" i="48"/>
  <c r="J24" i="48"/>
  <c r="I24" i="48"/>
  <c r="P23" i="48"/>
  <c r="N23" i="48"/>
  <c r="L23" i="48"/>
  <c r="J23" i="48"/>
  <c r="D23" i="48"/>
  <c r="P22" i="48"/>
  <c r="N22" i="48"/>
  <c r="L22" i="48"/>
  <c r="J22" i="48"/>
  <c r="D22" i="48"/>
  <c r="P21" i="48"/>
  <c r="N21" i="48"/>
  <c r="L21" i="48"/>
  <c r="J21" i="48"/>
  <c r="D21" i="48"/>
  <c r="P20" i="48"/>
  <c r="N20" i="48"/>
  <c r="L20" i="48"/>
  <c r="J20" i="48"/>
  <c r="D20" i="48"/>
  <c r="P19" i="48"/>
  <c r="N19" i="48"/>
  <c r="L19" i="48"/>
  <c r="J19" i="48"/>
  <c r="D19" i="48"/>
  <c r="P18" i="48"/>
  <c r="L18" i="48"/>
  <c r="P17" i="48"/>
  <c r="N17" i="48"/>
  <c r="L17" i="48"/>
  <c r="J17" i="48"/>
  <c r="D17" i="48"/>
  <c r="P16" i="48"/>
  <c r="N16" i="48"/>
  <c r="L16" i="48"/>
  <c r="J16" i="48"/>
  <c r="D16" i="48"/>
  <c r="P15" i="48"/>
  <c r="N15" i="48"/>
  <c r="L15" i="48"/>
  <c r="J15" i="48"/>
  <c r="D15" i="48"/>
  <c r="P14" i="48"/>
  <c r="N14" i="48"/>
  <c r="L14" i="48"/>
  <c r="J14" i="48"/>
  <c r="D14" i="48"/>
  <c r="P13" i="48"/>
  <c r="N13" i="48"/>
  <c r="N12" i="48" s="1"/>
  <c r="L13" i="48"/>
  <c r="J13" i="48"/>
  <c r="J12" i="48" s="1"/>
  <c r="D13" i="48"/>
  <c r="P11" i="48"/>
  <c r="N11" i="48"/>
  <c r="L11" i="48"/>
  <c r="J11" i="48"/>
  <c r="P10" i="48"/>
  <c r="N10" i="48"/>
  <c r="L10" i="48"/>
  <c r="J10" i="48"/>
  <c r="P9" i="48"/>
  <c r="N9" i="48"/>
  <c r="L9" i="48"/>
  <c r="J9" i="48"/>
  <c r="P8" i="48"/>
  <c r="N8" i="48"/>
  <c r="L8" i="48"/>
  <c r="J8" i="48"/>
  <c r="P7" i="48"/>
  <c r="N7" i="48"/>
  <c r="L7" i="48"/>
  <c r="J7" i="48"/>
  <c r="P6" i="48"/>
  <c r="N6" i="48"/>
  <c r="L6" i="48"/>
  <c r="J6" i="48"/>
  <c r="P5" i="48"/>
  <c r="N5" i="48"/>
  <c r="L5" i="48"/>
  <c r="J5" i="48"/>
  <c r="P4" i="48"/>
  <c r="N4" i="48"/>
  <c r="L4" i="48"/>
  <c r="J4" i="48"/>
  <c r="E14" i="31"/>
  <c r="L12" i="48" l="1"/>
  <c r="L40" i="48"/>
  <c r="N40" i="48"/>
  <c r="N18" i="48"/>
  <c r="J40" i="48"/>
  <c r="J18" i="48"/>
  <c r="P12" i="48"/>
  <c r="P40" i="48"/>
  <c r="L29" i="48"/>
  <c r="P29" i="48"/>
  <c r="L60" i="48"/>
  <c r="P60" i="48"/>
  <c r="D40" i="15"/>
  <c r="D39" i="15"/>
  <c r="D36" i="15"/>
  <c r="D35" i="15"/>
  <c r="D32" i="15"/>
  <c r="D31" i="15"/>
  <c r="D30" i="15"/>
  <c r="J48" i="48" l="1"/>
  <c r="J50" i="48" s="1"/>
  <c r="K40" i="48" s="1"/>
  <c r="J47" i="48"/>
  <c r="M12" i="48"/>
  <c r="P48" i="48"/>
  <c r="P50" i="48" s="1"/>
  <c r="P47" i="48"/>
  <c r="L48" i="48"/>
  <c r="L50" i="48" s="1"/>
  <c r="M40" i="48" s="1"/>
  <c r="L47" i="48"/>
  <c r="O18" i="48"/>
  <c r="N48" i="48"/>
  <c r="N50" i="48" s="1"/>
  <c r="N47" i="48"/>
  <c r="O40" i="48"/>
  <c r="F109" i="45"/>
  <c r="G109" i="45"/>
  <c r="H109" i="45"/>
  <c r="H108" i="45"/>
  <c r="G108" i="45"/>
  <c r="F108" i="45"/>
  <c r="H107" i="45"/>
  <c r="F99" i="45"/>
  <c r="G99" i="45"/>
  <c r="H99" i="45"/>
  <c r="F100" i="45"/>
  <c r="G100" i="45"/>
  <c r="H100" i="45"/>
  <c r="F101" i="45"/>
  <c r="G101" i="45"/>
  <c r="H101" i="45"/>
  <c r="F102" i="45"/>
  <c r="G102" i="45"/>
  <c r="H102" i="45"/>
  <c r="F103" i="45"/>
  <c r="G103" i="45"/>
  <c r="H103" i="45"/>
  <c r="H98" i="45"/>
  <c r="G98" i="45"/>
  <c r="F98" i="45"/>
  <c r="H95" i="45"/>
  <c r="F87" i="45"/>
  <c r="H87" i="45"/>
  <c r="H88" i="45"/>
  <c r="F89" i="45"/>
  <c r="G89" i="45"/>
  <c r="H89" i="45"/>
  <c r="F90" i="45"/>
  <c r="G90" i="45"/>
  <c r="H90" i="45"/>
  <c r="F91" i="45"/>
  <c r="G91" i="45"/>
  <c r="H91" i="45"/>
  <c r="H86" i="45"/>
  <c r="G86" i="45"/>
  <c r="F86" i="45"/>
  <c r="Q23" i="48" l="1"/>
  <c r="Q19" i="48"/>
  <c r="Q14" i="48"/>
  <c r="Q45" i="48"/>
  <c r="Q42" i="48"/>
  <c r="Q37" i="48"/>
  <c r="Q31" i="48"/>
  <c r="Q21" i="48"/>
  <c r="Q11" i="48"/>
  <c r="Q9" i="48"/>
  <c r="Q7" i="48"/>
  <c r="Q5" i="48"/>
  <c r="Q46" i="48"/>
  <c r="Q35" i="48"/>
  <c r="Q33" i="48"/>
  <c r="Q16" i="48"/>
  <c r="Q10" i="48"/>
  <c r="Q8" i="48"/>
  <c r="Q6" i="48"/>
  <c r="Q4" i="48"/>
  <c r="Q34" i="48"/>
  <c r="Q54" i="48"/>
  <c r="Q39" i="48"/>
  <c r="Q55" i="48"/>
  <c r="Q22" i="48"/>
  <c r="Q13" i="48"/>
  <c r="Q18" i="48"/>
  <c r="Q58" i="48"/>
  <c r="Q24" i="48"/>
  <c r="Q56" i="48"/>
  <c r="Q27" i="48"/>
  <c r="Q41" i="48"/>
  <c r="Q20" i="48"/>
  <c r="Q44" i="48"/>
  <c r="Q26" i="48"/>
  <c r="Q15" i="48"/>
  <c r="Q30" i="48"/>
  <c r="Q52" i="48"/>
  <c r="Q53" i="48"/>
  <c r="Q28" i="48"/>
  <c r="Q32" i="48"/>
  <c r="Q17" i="48"/>
  <c r="Q25" i="48"/>
  <c r="Q36" i="48"/>
  <c r="Q38" i="48"/>
  <c r="Q57" i="48"/>
  <c r="Q43" i="48"/>
  <c r="K18" i="48"/>
  <c r="O21" i="48"/>
  <c r="O16" i="48"/>
  <c r="O11" i="48"/>
  <c r="O10" i="48"/>
  <c r="O9" i="48"/>
  <c r="O8" i="48"/>
  <c r="O7" i="48"/>
  <c r="O58" i="48"/>
  <c r="O57" i="48"/>
  <c r="O55" i="48"/>
  <c r="O53" i="48"/>
  <c r="O39" i="48"/>
  <c r="O48" i="48" s="1"/>
  <c r="O23" i="48"/>
  <c r="O19" i="48"/>
  <c r="O54" i="48"/>
  <c r="O52" i="48"/>
  <c r="O38" i="48"/>
  <c r="O36" i="48"/>
  <c r="O14" i="48"/>
  <c r="O56" i="48"/>
  <c r="O44" i="48"/>
  <c r="O34" i="48"/>
  <c r="O32" i="48"/>
  <c r="O30" i="48"/>
  <c r="O17" i="48"/>
  <c r="O31" i="48"/>
  <c r="O5" i="48"/>
  <c r="O45" i="48"/>
  <c r="O33" i="48"/>
  <c r="O27" i="48"/>
  <c r="O13" i="48"/>
  <c r="O35" i="48"/>
  <c r="O46" i="48"/>
  <c r="O15" i="48"/>
  <c r="O41" i="48"/>
  <c r="O6" i="48"/>
  <c r="O24" i="48"/>
  <c r="O28" i="48"/>
  <c r="O37" i="48"/>
  <c r="O42" i="48"/>
  <c r="O25" i="48"/>
  <c r="O29" i="48"/>
  <c r="O43" i="48"/>
  <c r="O20" i="48"/>
  <c r="O26" i="48"/>
  <c r="O12" i="48"/>
  <c r="O4" i="48"/>
  <c r="O22" i="48"/>
  <c r="Q29" i="48"/>
  <c r="K21" i="48"/>
  <c r="K16" i="48"/>
  <c r="K11" i="48"/>
  <c r="K10" i="48"/>
  <c r="K9" i="48"/>
  <c r="K8" i="48"/>
  <c r="K7" i="48"/>
  <c r="K58" i="48"/>
  <c r="K57" i="48"/>
  <c r="K56" i="48"/>
  <c r="K54" i="48"/>
  <c r="K52" i="48"/>
  <c r="K36" i="48"/>
  <c r="K34" i="48"/>
  <c r="K30" i="48"/>
  <c r="K14" i="48"/>
  <c r="K55" i="48"/>
  <c r="K53" i="48"/>
  <c r="K39" i="48"/>
  <c r="K48" i="48" s="1"/>
  <c r="K23" i="48"/>
  <c r="K19" i="48"/>
  <c r="K44" i="48"/>
  <c r="K38" i="48"/>
  <c r="K32" i="48"/>
  <c r="K12" i="48"/>
  <c r="K25" i="48"/>
  <c r="K43" i="48"/>
  <c r="K31" i="48"/>
  <c r="K26" i="48"/>
  <c r="K13" i="48"/>
  <c r="K45" i="48"/>
  <c r="K24" i="48"/>
  <c r="K17" i="48"/>
  <c r="K20" i="48"/>
  <c r="K4" i="48"/>
  <c r="K37" i="48"/>
  <c r="K46" i="48"/>
  <c r="K5" i="48"/>
  <c r="K29" i="48"/>
  <c r="K22" i="48"/>
  <c r="K15" i="48"/>
  <c r="K41" i="48"/>
  <c r="K33" i="48"/>
  <c r="K6" i="48"/>
  <c r="K35" i="48"/>
  <c r="K27" i="48"/>
  <c r="K42" i="48"/>
  <c r="K28" i="48"/>
  <c r="M23" i="48"/>
  <c r="M19" i="48"/>
  <c r="M14" i="48"/>
  <c r="M45" i="48"/>
  <c r="M46" i="48"/>
  <c r="M42" i="48"/>
  <c r="M37" i="48"/>
  <c r="M35" i="48"/>
  <c r="M33" i="48"/>
  <c r="M31" i="48"/>
  <c r="M16" i="48"/>
  <c r="M10" i="48"/>
  <c r="M8" i="48"/>
  <c r="M6" i="48"/>
  <c r="M4" i="48"/>
  <c r="M21" i="48"/>
  <c r="M9" i="48"/>
  <c r="M7" i="48"/>
  <c r="M11" i="48"/>
  <c r="M5" i="48"/>
  <c r="M13" i="48"/>
  <c r="M15" i="48"/>
  <c r="M27" i="48"/>
  <c r="M39" i="48"/>
  <c r="M47" i="48" s="1"/>
  <c r="M50" i="48" s="1"/>
  <c r="M53" i="48"/>
  <c r="M20" i="48"/>
  <c r="M26" i="48"/>
  <c r="M30" i="48"/>
  <c r="M38" i="48"/>
  <c r="M44" i="48"/>
  <c r="M22" i="48"/>
  <c r="M28" i="48"/>
  <c r="M54" i="48"/>
  <c r="M25" i="48"/>
  <c r="M18" i="48"/>
  <c r="M17" i="48"/>
  <c r="M36" i="48"/>
  <c r="M56" i="48"/>
  <c r="M41" i="48"/>
  <c r="M55" i="48"/>
  <c r="M57" i="48"/>
  <c r="M32" i="48"/>
  <c r="M52" i="48"/>
  <c r="M43" i="48"/>
  <c r="M58" i="48"/>
  <c r="M24" i="48"/>
  <c r="M34" i="48"/>
  <c r="Q40" i="48"/>
  <c r="Q12" i="48"/>
  <c r="M29" i="48"/>
  <c r="D17" i="13"/>
  <c r="D15" i="13"/>
  <c r="D11" i="13"/>
  <c r="P24" i="1"/>
  <c r="N24" i="1"/>
  <c r="L24" i="1"/>
  <c r="J24" i="1"/>
  <c r="Q47" i="48" l="1"/>
  <c r="Q50" i="48" s="1"/>
  <c r="Q48" i="48"/>
  <c r="K47" i="48"/>
  <c r="K50" i="48" s="1"/>
  <c r="K60" i="48"/>
  <c r="O47" i="48"/>
  <c r="O50" i="48" s="1"/>
  <c r="M48" i="48"/>
  <c r="M60" i="48"/>
  <c r="O60" i="48"/>
  <c r="Q60" i="48"/>
  <c r="L253" i="45"/>
  <c r="L251" i="45"/>
  <c r="B253" i="45"/>
  <c r="L248" i="45" s="1"/>
  <c r="B252" i="45"/>
  <c r="L249" i="45" s="1"/>
  <c r="B251" i="45"/>
  <c r="L250" i="45" s="1"/>
  <c r="B250" i="45"/>
  <c r="B249" i="45"/>
  <c r="L252" i="45" s="1"/>
  <c r="L214" i="45"/>
  <c r="L213" i="45"/>
  <c r="L210" i="45"/>
  <c r="B216" i="45"/>
  <c r="B215" i="45"/>
  <c r="L208" i="45" s="1"/>
  <c r="B214" i="45"/>
  <c r="L209" i="45" s="1"/>
  <c r="B213" i="45"/>
  <c r="B212" i="45"/>
  <c r="L211" i="45" s="1"/>
  <c r="B211" i="45"/>
  <c r="L212" i="45" s="1"/>
  <c r="B208" i="45"/>
  <c r="L215" i="45" s="1"/>
  <c r="B209" i="45"/>
  <c r="B207" i="45"/>
  <c r="L216" i="45" s="1"/>
  <c r="L180" i="45"/>
  <c r="L179" i="45"/>
  <c r="L178" i="45"/>
  <c r="L177" i="45"/>
  <c r="L176" i="45"/>
  <c r="E16" i="31"/>
  <c r="B148" i="45" l="1"/>
  <c r="B149" i="45"/>
  <c r="B150" i="45"/>
  <c r="B151" i="45"/>
  <c r="B147" i="45"/>
  <c r="E12" i="15"/>
  <c r="E13" i="15"/>
  <c r="E31" i="15"/>
  <c r="G30" i="15"/>
  <c r="E30" i="15"/>
  <c r="D13" i="15"/>
  <c r="D12" i="15"/>
  <c r="L54" i="37"/>
  <c r="L64" i="37"/>
  <c r="L62" i="37"/>
  <c r="L63" i="37"/>
  <c r="L61" i="37"/>
  <c r="L58" i="37"/>
  <c r="L53" i="37"/>
  <c r="L43" i="37"/>
  <c r="L44" i="37"/>
  <c r="L45" i="37"/>
  <c r="L46" i="37"/>
  <c r="L47" i="37"/>
  <c r="L48" i="37"/>
  <c r="L49" i="37"/>
  <c r="L42" i="37"/>
  <c r="L20" i="37"/>
  <c r="L21" i="37"/>
  <c r="L22" i="37"/>
  <c r="L23" i="37"/>
  <c r="L24" i="37"/>
  <c r="L25" i="37"/>
  <c r="L26" i="37"/>
  <c r="L27" i="37"/>
  <c r="L28" i="37"/>
  <c r="L29" i="37"/>
  <c r="L30" i="37"/>
  <c r="L31" i="37"/>
  <c r="L32" i="37"/>
  <c r="L33" i="37"/>
  <c r="L34" i="37"/>
  <c r="L35" i="37"/>
  <c r="L36" i="37"/>
  <c r="L37" i="37"/>
  <c r="L38" i="37"/>
  <c r="L19" i="37"/>
  <c r="B115" i="45" l="1"/>
  <c r="B116" i="45"/>
  <c r="B117" i="45"/>
  <c r="B118" i="45"/>
  <c r="B119" i="45"/>
  <c r="B114" i="45"/>
  <c r="C108" i="45" l="1"/>
  <c r="D108" i="45"/>
  <c r="E108" i="45"/>
  <c r="C109" i="45"/>
  <c r="D109" i="45"/>
  <c r="E109" i="45"/>
  <c r="E107" i="45"/>
  <c r="C103" i="45"/>
  <c r="D103" i="45"/>
  <c r="E103" i="45"/>
  <c r="E77" i="8"/>
  <c r="G71" i="36"/>
  <c r="D98" i="45"/>
  <c r="E98" i="45"/>
  <c r="D99" i="45"/>
  <c r="E99" i="45"/>
  <c r="D100" i="45"/>
  <c r="E100" i="45"/>
  <c r="D101" i="45"/>
  <c r="E101" i="45"/>
  <c r="D102" i="45"/>
  <c r="E102" i="45"/>
  <c r="C99" i="45"/>
  <c r="C100" i="45"/>
  <c r="C101" i="45"/>
  <c r="C102" i="45"/>
  <c r="C98" i="45"/>
  <c r="E95" i="45"/>
  <c r="D89" i="45"/>
  <c r="D90" i="45"/>
  <c r="D91" i="45"/>
  <c r="D86" i="45"/>
  <c r="E86" i="45"/>
  <c r="E87" i="45"/>
  <c r="E88" i="45"/>
  <c r="E89" i="45"/>
  <c r="E90" i="45"/>
  <c r="E91" i="45"/>
  <c r="C87" i="45"/>
  <c r="C89" i="45"/>
  <c r="C90" i="45"/>
  <c r="C91" i="45"/>
  <c r="C86" i="45"/>
  <c r="G50" i="36"/>
  <c r="K49" i="36"/>
  <c r="H49" i="36"/>
  <c r="E49" i="36"/>
  <c r="G49" i="36" s="1"/>
  <c r="G52" i="36" s="1"/>
  <c r="P45" i="36"/>
  <c r="M45" i="36"/>
  <c r="J45" i="36"/>
  <c r="G45" i="36"/>
  <c r="N45" i="36"/>
  <c r="K45" i="36"/>
  <c r="H45" i="36"/>
  <c r="E45" i="36"/>
  <c r="O45" i="36"/>
  <c r="F22" i="35"/>
  <c r="G22" i="35"/>
  <c r="H22" i="35"/>
  <c r="E22" i="35"/>
  <c r="G18" i="35"/>
  <c r="H18" i="35" s="1"/>
  <c r="F18" i="35"/>
  <c r="F16" i="5"/>
  <c r="D110" i="45" l="1"/>
  <c r="C110" i="45"/>
  <c r="G92" i="45"/>
  <c r="D104" i="45"/>
  <c r="E110" i="45"/>
  <c r="G110" i="45"/>
  <c r="E92" i="45"/>
  <c r="F104" i="45"/>
  <c r="H104" i="45"/>
  <c r="H110" i="45"/>
  <c r="C92" i="45"/>
  <c r="F92" i="45"/>
  <c r="H92" i="45"/>
  <c r="E104" i="45"/>
  <c r="G104" i="45"/>
  <c r="F110" i="45"/>
  <c r="C104" i="45"/>
  <c r="D92" i="45"/>
  <c r="B62" i="45" l="1"/>
  <c r="L65" i="45" s="1"/>
  <c r="B63" i="45"/>
  <c r="L66" i="45" s="1"/>
  <c r="B64" i="45"/>
  <c r="L67" i="45" s="1"/>
  <c r="B61" i="45"/>
  <c r="L61" i="45" s="1"/>
  <c r="B28" i="45" l="1"/>
  <c r="B29" i="45"/>
  <c r="B31" i="45"/>
  <c r="B32" i="45"/>
  <c r="B33" i="45"/>
  <c r="B34" i="45"/>
  <c r="B35" i="45"/>
  <c r="B27" i="45"/>
  <c r="B286" i="45"/>
  <c r="B285" i="45"/>
  <c r="B284" i="45"/>
  <c r="B283" i="45"/>
  <c r="B282" i="45"/>
  <c r="B281" i="45"/>
  <c r="B280" i="45"/>
  <c r="B279" i="45"/>
  <c r="B278" i="45"/>
  <c r="F56" i="34"/>
  <c r="G56" i="34"/>
  <c r="H56" i="34"/>
  <c r="F57" i="34"/>
  <c r="G57" i="34"/>
  <c r="H57" i="34"/>
  <c r="H55" i="34"/>
  <c r="G55" i="34"/>
  <c r="F55" i="34"/>
  <c r="E56" i="34"/>
  <c r="E57" i="34"/>
  <c r="E55" i="34"/>
  <c r="F45" i="34"/>
  <c r="G45" i="34"/>
  <c r="H45" i="34"/>
  <c r="F46" i="34"/>
  <c r="G46" i="34"/>
  <c r="H46" i="34"/>
  <c r="H44" i="34"/>
  <c r="G44" i="34"/>
  <c r="F44" i="34"/>
  <c r="E45" i="34"/>
  <c r="E46" i="34"/>
  <c r="E44" i="34"/>
  <c r="F34" i="34"/>
  <c r="G34" i="34"/>
  <c r="H34" i="34"/>
  <c r="F35" i="34"/>
  <c r="G35" i="34"/>
  <c r="H35" i="34"/>
  <c r="H33" i="34"/>
  <c r="G33" i="34"/>
  <c r="F33" i="34"/>
  <c r="E34" i="34"/>
  <c r="E35" i="34"/>
  <c r="E33" i="34"/>
  <c r="H4" i="34"/>
  <c r="G4" i="34"/>
  <c r="F4" i="34"/>
  <c r="H23" i="34"/>
  <c r="H24" i="34"/>
  <c r="H22" i="34"/>
  <c r="G23" i="34"/>
  <c r="G24" i="34"/>
  <c r="G22" i="34"/>
  <c r="F23" i="34"/>
  <c r="F24" i="34"/>
  <c r="F22" i="34"/>
  <c r="E23" i="34"/>
  <c r="E25" i="34" s="1"/>
  <c r="E24" i="34"/>
  <c r="E22" i="34"/>
  <c r="B5" i="45" l="1"/>
  <c r="B6" i="45"/>
  <c r="B7" i="45"/>
  <c r="B4" i="45"/>
  <c r="P6" i="1" l="1"/>
  <c r="P7" i="1"/>
  <c r="P8" i="1"/>
  <c r="P9" i="1"/>
  <c r="P10" i="1"/>
  <c r="P13" i="1"/>
  <c r="P14" i="1"/>
  <c r="P15" i="1"/>
  <c r="P16" i="1"/>
  <c r="P17" i="1"/>
  <c r="P22" i="1"/>
  <c r="P23" i="1"/>
  <c r="C60" i="23"/>
  <c r="C59" i="23"/>
  <c r="C58" i="23"/>
  <c r="C57" i="23"/>
  <c r="C56" i="23"/>
  <c r="C55" i="23"/>
  <c r="B54" i="23"/>
  <c r="C50" i="23"/>
  <c r="C49" i="23"/>
  <c r="C42" i="23"/>
  <c r="C41" i="23"/>
  <c r="C31" i="23"/>
  <c r="C26" i="23"/>
  <c r="C20" i="23"/>
  <c r="C14" i="23"/>
  <c r="D13" i="23"/>
  <c r="D12" i="23"/>
  <c r="E11" i="23"/>
  <c r="E10" i="23"/>
  <c r="E9" i="23"/>
  <c r="E8" i="23"/>
  <c r="D7" i="23"/>
  <c r="C6" i="23"/>
  <c r="B5" i="23"/>
  <c r="D7" i="22"/>
  <c r="E8" i="22"/>
  <c r="C60" i="22"/>
  <c r="C56" i="22"/>
  <c r="C57" i="22"/>
  <c r="C58" i="22"/>
  <c r="C59" i="22"/>
  <c r="C55" i="22"/>
  <c r="D13" i="22"/>
  <c r="D12" i="22"/>
  <c r="E11" i="22"/>
  <c r="E10" i="22"/>
  <c r="E9" i="22"/>
  <c r="B54" i="22"/>
  <c r="C50" i="22"/>
  <c r="C49" i="22"/>
  <c r="C42" i="22"/>
  <c r="C41" i="22"/>
  <c r="C31" i="22"/>
  <c r="C26" i="22"/>
  <c r="C20" i="22"/>
  <c r="C14" i="22"/>
  <c r="C6" i="22"/>
  <c r="B5" i="22"/>
  <c r="E81" i="34"/>
  <c r="E82" i="34"/>
  <c r="E83" i="34"/>
  <c r="E84" i="34"/>
  <c r="F86" i="34"/>
  <c r="G86" i="34"/>
  <c r="G118" i="34" s="1"/>
  <c r="G121" i="34" s="1"/>
  <c r="H86" i="34"/>
  <c r="H87" i="34" s="1"/>
  <c r="I86" i="34"/>
  <c r="I87" i="34" s="1"/>
  <c r="F87" i="34"/>
  <c r="G87" i="34"/>
  <c r="F89" i="34"/>
  <c r="G89" i="34"/>
  <c r="H89" i="34"/>
  <c r="I89" i="34"/>
  <c r="E94" i="34"/>
  <c r="E95" i="34"/>
  <c r="E96" i="34"/>
  <c r="E97" i="34"/>
  <c r="F99" i="34"/>
  <c r="G99" i="34"/>
  <c r="H99" i="34"/>
  <c r="I99" i="34"/>
  <c r="F100" i="34"/>
  <c r="G100" i="34"/>
  <c r="H100" i="34"/>
  <c r="I100" i="34"/>
  <c r="E106" i="34"/>
  <c r="E107" i="34"/>
  <c r="E108" i="34"/>
  <c r="E109" i="34"/>
  <c r="F111" i="34"/>
  <c r="G111" i="34"/>
  <c r="H111" i="34"/>
  <c r="I111" i="34"/>
  <c r="F112" i="34"/>
  <c r="G112" i="34"/>
  <c r="H112" i="34"/>
  <c r="I112" i="34"/>
  <c r="F118" i="34"/>
  <c r="F121" i="34"/>
  <c r="E123" i="34"/>
  <c r="F122" i="34" s="1"/>
  <c r="F20" i="35"/>
  <c r="G20" i="35" s="1"/>
  <c r="H20" i="35" s="1"/>
  <c r="L18" i="35"/>
  <c r="F19" i="35"/>
  <c r="G19" i="35" s="1"/>
  <c r="H19" i="35" s="1"/>
  <c r="L21" i="35"/>
  <c r="L19" i="35" s="1"/>
  <c r="L22" i="35"/>
  <c r="F93" i="36"/>
  <c r="I118" i="34" l="1"/>
  <c r="I121" i="34" s="1"/>
  <c r="I122" i="34" s="1"/>
  <c r="H118" i="34"/>
  <c r="H121" i="34" s="1"/>
  <c r="H122" i="34" s="1"/>
  <c r="G122" i="34"/>
  <c r="D70" i="13" l="1"/>
  <c r="C45" i="13"/>
  <c r="C44" i="13"/>
  <c r="B43" i="13"/>
  <c r="C41" i="13"/>
  <c r="C42" i="13"/>
  <c r="C40" i="13"/>
  <c r="B39" i="13"/>
  <c r="H12" i="15"/>
  <c r="D40" i="13" s="1"/>
  <c r="G12" i="15" l="1"/>
  <c r="E63" i="3" l="1"/>
  <c r="O94" i="36"/>
  <c r="L94" i="36"/>
  <c r="I94" i="36"/>
  <c r="O93" i="36"/>
  <c r="L93" i="36"/>
  <c r="I93" i="36"/>
  <c r="I26" i="31" l="1"/>
  <c r="I27" i="31"/>
  <c r="I28" i="31"/>
  <c r="I29" i="31"/>
  <c r="I30" i="31"/>
  <c r="I25" i="31"/>
  <c r="D21" i="15"/>
  <c r="D28" i="3"/>
  <c r="D18" i="15"/>
  <c r="D17" i="15"/>
  <c r="D14" i="15"/>
  <c r="M33" i="35"/>
  <c r="M34" i="35" s="1"/>
  <c r="F28" i="35" s="1"/>
  <c r="N33" i="35"/>
  <c r="N34" i="35" s="1"/>
  <c r="G28" i="35" s="1"/>
  <c r="O33" i="35"/>
  <c r="O34" i="35" s="1"/>
  <c r="H28" i="35" s="1"/>
  <c r="L33" i="35"/>
  <c r="L34" i="35" s="1"/>
  <c r="E28" i="35" s="1"/>
  <c r="E14" i="12"/>
  <c r="E13" i="12"/>
  <c r="E12" i="12"/>
  <c r="E11" i="12"/>
  <c r="E10" i="12"/>
  <c r="H56" i="2"/>
  <c r="G56" i="2"/>
  <c r="H55" i="2"/>
  <c r="G55" i="2"/>
  <c r="J19" i="2"/>
  <c r="F51" i="2"/>
  <c r="H52" i="2"/>
  <c r="G52" i="2"/>
  <c r="H43" i="2"/>
  <c r="G43" i="2"/>
  <c r="H42" i="2"/>
  <c r="G42" i="2"/>
  <c r="G41" i="2"/>
  <c r="H41" i="2"/>
  <c r="H40" i="2"/>
  <c r="G40" i="2"/>
  <c r="H34" i="2"/>
  <c r="G34" i="2"/>
  <c r="H33" i="2"/>
  <c r="G33" i="2"/>
  <c r="H32" i="2"/>
  <c r="H31" i="2"/>
  <c r="G31" i="2"/>
  <c r="H30" i="2"/>
  <c r="G30" i="2"/>
  <c r="H29" i="2"/>
  <c r="G29" i="2"/>
  <c r="H28" i="2"/>
  <c r="G28" i="2"/>
  <c r="H26" i="2"/>
  <c r="G26" i="2"/>
  <c r="H25" i="2"/>
  <c r="G25" i="2"/>
  <c r="H24" i="2"/>
  <c r="G24" i="2"/>
  <c r="H18" i="2"/>
  <c r="G18" i="2"/>
  <c r="H17" i="2"/>
  <c r="G17" i="2"/>
  <c r="J14" i="2"/>
  <c r="G32" i="31" l="1"/>
  <c r="G35" i="31" s="1"/>
  <c r="D78" i="41" l="1"/>
  <c r="H76" i="41"/>
  <c r="G76" i="41" s="1"/>
  <c r="H75" i="41"/>
  <c r="I75" i="41" s="1"/>
  <c r="G75" i="41"/>
  <c r="H74" i="41"/>
  <c r="G74" i="41"/>
  <c r="H72" i="41"/>
  <c r="G72" i="41" s="1"/>
  <c r="H71" i="41"/>
  <c r="I71" i="41" s="1"/>
  <c r="G71" i="41"/>
  <c r="H70" i="41"/>
  <c r="I70" i="41" s="1"/>
  <c r="G70" i="41"/>
  <c r="I67" i="41"/>
  <c r="H67" i="41"/>
  <c r="G67" i="41"/>
  <c r="H62" i="41"/>
  <c r="G62" i="41"/>
  <c r="H61" i="41"/>
  <c r="G61" i="41"/>
  <c r="H60" i="41"/>
  <c r="G60" i="41"/>
  <c r="H59" i="41"/>
  <c r="H78" i="41" s="1"/>
  <c r="G59" i="41"/>
  <c r="G78" i="41" s="1"/>
  <c r="H52" i="41"/>
  <c r="H51" i="41"/>
  <c r="I51" i="41" s="1"/>
  <c r="H50" i="41"/>
  <c r="D50" i="41"/>
  <c r="G50" i="41" s="1"/>
  <c r="H48" i="41"/>
  <c r="I48" i="41" s="1"/>
  <c r="H47" i="41"/>
  <c r="I47" i="41" s="1"/>
  <c r="H46" i="41"/>
  <c r="I46" i="41" s="1"/>
  <c r="H43" i="41"/>
  <c r="I43" i="41" s="1"/>
  <c r="H38" i="41"/>
  <c r="H37" i="41"/>
  <c r="H36" i="41"/>
  <c r="I35" i="41"/>
  <c r="I54" i="41" s="1"/>
  <c r="H35" i="41"/>
  <c r="H54" i="41" s="1"/>
  <c r="E32" i="41"/>
  <c r="D52" i="41" s="1"/>
  <c r="G52" i="41" s="1"/>
  <c r="H28" i="41"/>
  <c r="G28" i="41" s="1"/>
  <c r="H27" i="41"/>
  <c r="I27" i="41" s="1"/>
  <c r="G27" i="41"/>
  <c r="D27" i="41"/>
  <c r="D51" i="41" s="1"/>
  <c r="G51" i="41" s="1"/>
  <c r="H26" i="41"/>
  <c r="G26" i="41"/>
  <c r="I24" i="41"/>
  <c r="H24" i="41"/>
  <c r="G24" i="41"/>
  <c r="H23" i="41"/>
  <c r="G23" i="41" s="1"/>
  <c r="H22" i="41"/>
  <c r="I22" i="41" s="1"/>
  <c r="G22" i="41"/>
  <c r="H19" i="41"/>
  <c r="I19" i="41" s="1"/>
  <c r="G19" i="41"/>
  <c r="H14" i="41"/>
  <c r="G14" i="41" s="1"/>
  <c r="H13" i="41"/>
  <c r="G13" i="41"/>
  <c r="H12" i="41"/>
  <c r="G12" i="41" s="1"/>
  <c r="H11" i="41"/>
  <c r="H30" i="41" s="1"/>
  <c r="G11" i="41"/>
  <c r="G30" i="41" l="1"/>
  <c r="G86" i="41"/>
  <c r="H5" i="41" s="1"/>
  <c r="D80" i="41"/>
  <c r="D37" i="41"/>
  <c r="G37" i="41" s="1"/>
  <c r="D41" i="41"/>
  <c r="D46" i="41"/>
  <c r="G46" i="41" s="1"/>
  <c r="D47" i="41"/>
  <c r="G47" i="41" s="1"/>
  <c r="D48" i="41"/>
  <c r="G48" i="41" s="1"/>
  <c r="I23" i="41"/>
  <c r="D35" i="41"/>
  <c r="G35" i="41" s="1"/>
  <c r="D36" i="41"/>
  <c r="G36" i="41" s="1"/>
  <c r="D42" i="41"/>
  <c r="I72" i="41"/>
  <c r="I11" i="41"/>
  <c r="I30" i="41" s="1"/>
  <c r="D39" i="41"/>
  <c r="D43" i="41"/>
  <c r="G43" i="41" s="1"/>
  <c r="D44" i="41"/>
  <c r="D38" i="41"/>
  <c r="G38" i="41" s="1"/>
  <c r="D40" i="41"/>
  <c r="D45" i="41"/>
  <c r="I59" i="41"/>
  <c r="I78" i="41" s="1"/>
  <c r="D36" i="3"/>
  <c r="D29" i="3"/>
  <c r="D37" i="3" s="1"/>
  <c r="G28" i="3"/>
  <c r="F28" i="3"/>
  <c r="E28" i="3"/>
  <c r="G24" i="3"/>
  <c r="F24" i="3"/>
  <c r="D65" i="40"/>
  <c r="E7" i="40" s="1"/>
  <c r="E63" i="40"/>
  <c r="F63" i="40" s="1"/>
  <c r="G28" i="40"/>
  <c r="G29" i="40" s="1"/>
  <c r="G37" i="40" s="1"/>
  <c r="F28" i="40"/>
  <c r="F29" i="40" s="1"/>
  <c r="F37" i="40" s="1"/>
  <c r="E28" i="40"/>
  <c r="E29" i="40" s="1"/>
  <c r="E37" i="40" s="1"/>
  <c r="E39" i="40" s="1"/>
  <c r="D28" i="40"/>
  <c r="D29" i="40" s="1"/>
  <c r="D37" i="40" s="1"/>
  <c r="D39" i="40" s="1"/>
  <c r="E25" i="40"/>
  <c r="E36" i="40" s="1"/>
  <c r="D25" i="40"/>
  <c r="D36" i="40" s="1"/>
  <c r="G24" i="40"/>
  <c r="G25" i="40" s="1"/>
  <c r="G36" i="40" s="1"/>
  <c r="F24" i="40"/>
  <c r="F25" i="40" s="1"/>
  <c r="F36" i="40" s="1"/>
  <c r="G19" i="40"/>
  <c r="G20" i="40" s="1"/>
  <c r="F19" i="40"/>
  <c r="F20" i="40" s="1"/>
  <c r="E19" i="40"/>
  <c r="E20" i="40" s="1"/>
  <c r="D19" i="40"/>
  <c r="D20" i="40" s="1"/>
  <c r="H6" i="40"/>
  <c r="G6" i="40"/>
  <c r="F6" i="40"/>
  <c r="E6" i="40"/>
  <c r="G54" i="41" l="1"/>
  <c r="D86" i="41" s="1"/>
  <c r="E4" i="40"/>
  <c r="D45" i="40"/>
  <c r="D47" i="40" s="1"/>
  <c r="E5" i="40" s="1"/>
  <c r="G63" i="40"/>
  <c r="G65" i="40" s="1"/>
  <c r="H7" i="40" s="1"/>
  <c r="F65" i="40"/>
  <c r="G7" i="40" s="1"/>
  <c r="E45" i="40"/>
  <c r="E47" i="40" s="1"/>
  <c r="F5" i="40" s="1"/>
  <c r="F4" i="40"/>
  <c r="F10" i="40" s="1"/>
  <c r="F39" i="40"/>
  <c r="G39" i="40"/>
  <c r="E65" i="40"/>
  <c r="F7" i="40" s="1"/>
  <c r="P31" i="1"/>
  <c r="P32" i="1"/>
  <c r="P33" i="1"/>
  <c r="P34" i="1"/>
  <c r="P35" i="1"/>
  <c r="P36" i="1"/>
  <c r="P37" i="1"/>
  <c r="P38" i="1"/>
  <c r="N31" i="1"/>
  <c r="N32" i="1"/>
  <c r="N33" i="1"/>
  <c r="N34" i="1"/>
  <c r="N35" i="1"/>
  <c r="N36" i="1"/>
  <c r="N37" i="1"/>
  <c r="N38" i="1"/>
  <c r="L31" i="1"/>
  <c r="L32" i="1"/>
  <c r="L33" i="1"/>
  <c r="L34" i="1"/>
  <c r="L35" i="1"/>
  <c r="L36" i="1"/>
  <c r="L37" i="1"/>
  <c r="L38" i="1"/>
  <c r="J31" i="1"/>
  <c r="J32" i="1"/>
  <c r="J33" i="1"/>
  <c r="J34" i="1"/>
  <c r="J35" i="1"/>
  <c r="J36" i="1"/>
  <c r="J37" i="1"/>
  <c r="J38" i="1"/>
  <c r="P30" i="1"/>
  <c r="P29" i="1" s="1"/>
  <c r="N30" i="1"/>
  <c r="L30" i="1"/>
  <c r="J30" i="1"/>
  <c r="L12" i="37"/>
  <c r="I37" i="1"/>
  <c r="I39" i="22" s="1"/>
  <c r="I38" i="1"/>
  <c r="I40" i="22" s="1"/>
  <c r="I31" i="1"/>
  <c r="I33" i="22" s="1"/>
  <c r="I32" i="1"/>
  <c r="I34" i="22" s="1"/>
  <c r="I33" i="1"/>
  <c r="I35" i="22" s="1"/>
  <c r="I34" i="1"/>
  <c r="I36" i="22" s="1"/>
  <c r="I35" i="1"/>
  <c r="I37" i="22" s="1"/>
  <c r="I36" i="1"/>
  <c r="I38" i="22" s="1"/>
  <c r="I30" i="1"/>
  <c r="I32" i="22" s="1"/>
  <c r="D31" i="1"/>
  <c r="D32" i="1"/>
  <c r="D33" i="1"/>
  <c r="D34" i="1"/>
  <c r="D35" i="1"/>
  <c r="D36" i="1"/>
  <c r="D37" i="1"/>
  <c r="D38" i="1"/>
  <c r="D30" i="1"/>
  <c r="I15" i="37"/>
  <c r="L11" i="37"/>
  <c r="L10" i="37"/>
  <c r="L9" i="37"/>
  <c r="L8" i="37"/>
  <c r="L7" i="37"/>
  <c r="L6" i="37"/>
  <c r="L5" i="37"/>
  <c r="L4" i="37"/>
  <c r="L14" i="37" s="1"/>
  <c r="G10" i="37"/>
  <c r="H10" i="37" s="1"/>
  <c r="G11" i="37"/>
  <c r="I11" i="37" s="1"/>
  <c r="G12" i="37"/>
  <c r="J12" i="37" s="1"/>
  <c r="G9" i="37"/>
  <c r="G8" i="37"/>
  <c r="G7" i="37"/>
  <c r="G6" i="37"/>
  <c r="G5" i="37"/>
  <c r="G4" i="37"/>
  <c r="J4" i="37" s="1"/>
  <c r="F70" i="39"/>
  <c r="D70" i="39"/>
  <c r="G70" i="39" s="1"/>
  <c r="C70" i="39"/>
  <c r="F66" i="39"/>
  <c r="D66" i="39"/>
  <c r="G66" i="39" s="1"/>
  <c r="C66" i="39"/>
  <c r="E66" i="39" s="1"/>
  <c r="F62" i="39"/>
  <c r="D62" i="39"/>
  <c r="C62" i="39"/>
  <c r="E62" i="39" s="1"/>
  <c r="G62" i="39" s="1"/>
  <c r="F58" i="39"/>
  <c r="D58" i="39"/>
  <c r="C58" i="39"/>
  <c r="E58" i="39" s="1"/>
  <c r="F54" i="39"/>
  <c r="D54" i="39"/>
  <c r="C54" i="39"/>
  <c r="F50" i="39"/>
  <c r="F49" i="39"/>
  <c r="F46" i="39"/>
  <c r="C50" i="39"/>
  <c r="D50" i="39"/>
  <c r="G50" i="39" s="1"/>
  <c r="D49" i="39"/>
  <c r="C49" i="39"/>
  <c r="D46" i="39"/>
  <c r="C46" i="39"/>
  <c r="N9" i="37"/>
  <c r="C33" i="39"/>
  <c r="D33" i="39"/>
  <c r="F33" i="39"/>
  <c r="C34" i="39"/>
  <c r="D34" i="39"/>
  <c r="F34" i="39"/>
  <c r="C35" i="39"/>
  <c r="D35" i="39"/>
  <c r="F35" i="39"/>
  <c r="C36" i="39"/>
  <c r="D36" i="39"/>
  <c r="F36" i="39"/>
  <c r="C37" i="39"/>
  <c r="D37" i="39"/>
  <c r="F37" i="39"/>
  <c r="C38" i="39"/>
  <c r="D38" i="39"/>
  <c r="F38" i="39"/>
  <c r="C39" i="39"/>
  <c r="D39" i="39"/>
  <c r="F39" i="39"/>
  <c r="F32" i="39"/>
  <c r="D32" i="39"/>
  <c r="C32" i="39"/>
  <c r="F7" i="39"/>
  <c r="F8" i="39"/>
  <c r="F9" i="39"/>
  <c r="F10" i="39"/>
  <c r="F11" i="39"/>
  <c r="F12" i="39"/>
  <c r="F13" i="39"/>
  <c r="F14" i="39"/>
  <c r="F15" i="39"/>
  <c r="F16" i="39"/>
  <c r="F17" i="39"/>
  <c r="F18" i="39"/>
  <c r="F19" i="39"/>
  <c r="F20" i="39"/>
  <c r="F21" i="39"/>
  <c r="F22" i="39"/>
  <c r="F23" i="39"/>
  <c r="F24" i="39"/>
  <c r="F25" i="39"/>
  <c r="F6" i="39"/>
  <c r="C7" i="39"/>
  <c r="C8" i="39"/>
  <c r="C9" i="39"/>
  <c r="C10" i="39"/>
  <c r="C11" i="39"/>
  <c r="C12" i="39"/>
  <c r="C13" i="39"/>
  <c r="C14" i="39"/>
  <c r="C15" i="39"/>
  <c r="C16" i="39"/>
  <c r="C17" i="39"/>
  <c r="C18" i="39"/>
  <c r="C19" i="39"/>
  <c r="C20" i="39"/>
  <c r="C21" i="39"/>
  <c r="C22" i="39"/>
  <c r="C23" i="39"/>
  <c r="C24" i="39"/>
  <c r="C25" i="39"/>
  <c r="C6" i="39"/>
  <c r="D6" i="39"/>
  <c r="D7" i="39"/>
  <c r="D8" i="39"/>
  <c r="D9" i="39"/>
  <c r="D10" i="39"/>
  <c r="D11" i="39"/>
  <c r="D12" i="39"/>
  <c r="D13" i="39"/>
  <c r="D14" i="39"/>
  <c r="D15" i="39"/>
  <c r="D16" i="39"/>
  <c r="D17" i="39"/>
  <c r="D18" i="39"/>
  <c r="D19" i="39"/>
  <c r="D20" i="39"/>
  <c r="D21" i="39"/>
  <c r="D22" i="39"/>
  <c r="D23" i="39"/>
  <c r="D24" i="39"/>
  <c r="D25" i="39"/>
  <c r="F12" i="37"/>
  <c r="F6" i="37"/>
  <c r="J8" i="37"/>
  <c r="I7" i="37"/>
  <c r="H6" i="37"/>
  <c r="N12" i="37"/>
  <c r="N11" i="37"/>
  <c r="F11" i="37"/>
  <c r="N10" i="37"/>
  <c r="F10" i="37"/>
  <c r="N8" i="37"/>
  <c r="N7" i="37"/>
  <c r="N6" i="37"/>
  <c r="N5" i="37"/>
  <c r="N4" i="37"/>
  <c r="D40" i="22" l="1"/>
  <c r="D40" i="23"/>
  <c r="D35" i="23"/>
  <c r="D35" i="22"/>
  <c r="B30" i="45" s="1"/>
  <c r="D38" i="22"/>
  <c r="D38" i="23"/>
  <c r="D34" i="22"/>
  <c r="D34" i="23"/>
  <c r="D36" i="22"/>
  <c r="D36" i="23"/>
  <c r="D39" i="23"/>
  <c r="D39" i="22"/>
  <c r="D32" i="23"/>
  <c r="D32" i="22"/>
  <c r="D37" i="23"/>
  <c r="D37" i="22"/>
  <c r="D33" i="23"/>
  <c r="D33" i="22"/>
  <c r="E86" i="41"/>
  <c r="F5" i="41" s="1"/>
  <c r="F86" i="41"/>
  <c r="G5" i="41" s="1"/>
  <c r="E5" i="41"/>
  <c r="H4" i="40"/>
  <c r="G45" i="40"/>
  <c r="G47" i="40" s="1"/>
  <c r="H5" i="40" s="1"/>
  <c r="F45" i="40"/>
  <c r="F47" i="40" s="1"/>
  <c r="G5" i="40" s="1"/>
  <c r="G4" i="40"/>
  <c r="E10" i="40"/>
  <c r="E70" i="39"/>
  <c r="E50" i="39"/>
  <c r="G58" i="39"/>
  <c r="G54" i="39"/>
  <c r="E54" i="39"/>
  <c r="E36" i="39"/>
  <c r="G36" i="39" s="1"/>
  <c r="E33" i="39"/>
  <c r="G33" i="39" s="1"/>
  <c r="E46" i="39"/>
  <c r="G46" i="39" s="1"/>
  <c r="G49" i="39"/>
  <c r="E34" i="39"/>
  <c r="G34" i="39" s="1"/>
  <c r="E49" i="39"/>
  <c r="F7" i="37"/>
  <c r="F5" i="37"/>
  <c r="F8" i="37"/>
  <c r="J11" i="37"/>
  <c r="I4" i="37"/>
  <c r="E37" i="39"/>
  <c r="G37" i="39" s="1"/>
  <c r="F41" i="39"/>
  <c r="D41" i="39"/>
  <c r="E38" i="39"/>
  <c r="G38" i="39" s="1"/>
  <c r="E35" i="39"/>
  <c r="G35" i="39" s="1"/>
  <c r="E39" i="39"/>
  <c r="G39" i="39" s="1"/>
  <c r="E32" i="39"/>
  <c r="H7" i="37"/>
  <c r="J7" i="37"/>
  <c r="H11" i="37"/>
  <c r="E17" i="39"/>
  <c r="G17" i="39" s="1"/>
  <c r="E10" i="39"/>
  <c r="G10" i="39" s="1"/>
  <c r="E6" i="39"/>
  <c r="G6" i="39" s="1"/>
  <c r="D27" i="39"/>
  <c r="E11" i="39"/>
  <c r="G11" i="39" s="1"/>
  <c r="E18" i="39"/>
  <c r="G18" i="39" s="1"/>
  <c r="E14" i="39"/>
  <c r="G14" i="39" s="1"/>
  <c r="C27" i="39"/>
  <c r="E25" i="39"/>
  <c r="G25" i="39" s="1"/>
  <c r="E23" i="39"/>
  <c r="G23" i="39" s="1"/>
  <c r="E13" i="39"/>
  <c r="G13" i="39" s="1"/>
  <c r="E24" i="39"/>
  <c r="G24" i="39" s="1"/>
  <c r="E8" i="39"/>
  <c r="G8" i="39" s="1"/>
  <c r="E19" i="39"/>
  <c r="G19" i="39" s="1"/>
  <c r="E12" i="39"/>
  <c r="G12" i="39" s="1"/>
  <c r="E15" i="39"/>
  <c r="G15" i="39" s="1"/>
  <c r="E7" i="39"/>
  <c r="E9" i="39"/>
  <c r="G9" i="39" s="1"/>
  <c r="E22" i="39"/>
  <c r="G22" i="39" s="1"/>
  <c r="E20" i="39"/>
  <c r="G20" i="39" s="1"/>
  <c r="E16" i="39"/>
  <c r="G16" i="39" s="1"/>
  <c r="E21" i="39"/>
  <c r="G21" i="39" s="1"/>
  <c r="F9" i="37"/>
  <c r="I6" i="37"/>
  <c r="I10" i="37"/>
  <c r="H4" i="37"/>
  <c r="J6" i="37"/>
  <c r="H8" i="37"/>
  <c r="J10" i="37"/>
  <c r="H12" i="37"/>
  <c r="I8" i="37"/>
  <c r="I12" i="37"/>
  <c r="H7" i="2"/>
  <c r="F7" i="2"/>
  <c r="E7" i="2"/>
  <c r="F36" i="2"/>
  <c r="H27" i="2"/>
  <c r="G27" i="2"/>
  <c r="G16" i="2"/>
  <c r="H16" i="2"/>
  <c r="N96" i="36"/>
  <c r="K96" i="36"/>
  <c r="H96" i="36"/>
  <c r="P94" i="36"/>
  <c r="M94" i="36"/>
  <c r="J94" i="36"/>
  <c r="F94" i="36"/>
  <c r="E94" i="36"/>
  <c r="E96" i="36" s="1"/>
  <c r="P93" i="36"/>
  <c r="P96" i="36" s="1"/>
  <c r="M93" i="36"/>
  <c r="J93" i="36"/>
  <c r="G93" i="36"/>
  <c r="J92" i="36"/>
  <c r="J96" i="36" s="1"/>
  <c r="H79" i="36"/>
  <c r="P77" i="36"/>
  <c r="M77" i="36"/>
  <c r="I77" i="36"/>
  <c r="J77" i="36" s="1"/>
  <c r="E77" i="36"/>
  <c r="G77" i="36" s="1"/>
  <c r="P75" i="36"/>
  <c r="N75" i="36"/>
  <c r="M75" i="36"/>
  <c r="I75" i="36"/>
  <c r="J75" i="36" s="1"/>
  <c r="G75" i="36"/>
  <c r="K74" i="36"/>
  <c r="K79" i="36" s="1"/>
  <c r="I74" i="36"/>
  <c r="J74" i="36" s="1"/>
  <c r="G74" i="36"/>
  <c r="P73" i="36"/>
  <c r="M73" i="36"/>
  <c r="I73" i="36"/>
  <c r="J73" i="36" s="1"/>
  <c r="G73" i="36"/>
  <c r="P72" i="36"/>
  <c r="M72" i="36"/>
  <c r="I72" i="36"/>
  <c r="J72" i="36" s="1"/>
  <c r="G72" i="36"/>
  <c r="P71" i="36"/>
  <c r="M71" i="36"/>
  <c r="J71" i="36"/>
  <c r="I71" i="36"/>
  <c r="H52" i="36"/>
  <c r="E52" i="36"/>
  <c r="K50" i="36"/>
  <c r="M50" i="36" s="1"/>
  <c r="J50" i="36"/>
  <c r="N49" i="36"/>
  <c r="P49" i="36" s="1"/>
  <c r="J49" i="36"/>
  <c r="K48" i="36"/>
  <c r="M48" i="36" s="1"/>
  <c r="J48" i="36"/>
  <c r="G48" i="36"/>
  <c r="M47" i="36"/>
  <c r="L45" i="36"/>
  <c r="I45" i="36"/>
  <c r="H34" i="36"/>
  <c r="H6" i="36" s="1"/>
  <c r="F20" i="36"/>
  <c r="F5" i="36" s="1"/>
  <c r="I17" i="36"/>
  <c r="I20" i="36" s="1"/>
  <c r="I5" i="36" s="1"/>
  <c r="H17" i="36"/>
  <c r="H20" i="36" s="1"/>
  <c r="H5" i="36" s="1"/>
  <c r="G17" i="36"/>
  <c r="G20" i="36" s="1"/>
  <c r="G5" i="36" s="1"/>
  <c r="I6" i="36"/>
  <c r="G6" i="36"/>
  <c r="F6" i="36"/>
  <c r="O31" i="35"/>
  <c r="N31" i="35"/>
  <c r="M31" i="35"/>
  <c r="L31" i="35"/>
  <c r="M29" i="35"/>
  <c r="F27" i="35" s="1"/>
  <c r="N29" i="35"/>
  <c r="G27" i="35" s="1"/>
  <c r="O29" i="35"/>
  <c r="H27" i="35" s="1"/>
  <c r="L29" i="35"/>
  <c r="E27" i="35" s="1"/>
  <c r="E30" i="35" s="1"/>
  <c r="I6" i="34"/>
  <c r="I27" i="1" s="1"/>
  <c r="I29" i="22" s="1"/>
  <c r="I5" i="34"/>
  <c r="I26" i="1" s="1"/>
  <c r="I28" i="22" s="1"/>
  <c r="I4" i="34"/>
  <c r="I25" i="1" s="1"/>
  <c r="I27" i="22" s="1"/>
  <c r="D7" i="34"/>
  <c r="D28" i="1" s="1"/>
  <c r="D6" i="34"/>
  <c r="D27" i="1" s="1"/>
  <c r="D5" i="34"/>
  <c r="D26" i="1" s="1"/>
  <c r="D4" i="34"/>
  <c r="D25" i="1" s="1"/>
  <c r="K26" i="34"/>
  <c r="L26" i="34"/>
  <c r="M26" i="34"/>
  <c r="N26" i="34"/>
  <c r="K27" i="34"/>
  <c r="L27" i="34"/>
  <c r="M27" i="34"/>
  <c r="N27" i="34"/>
  <c r="K28" i="34"/>
  <c r="L28" i="34"/>
  <c r="M28" i="34"/>
  <c r="N28" i="34"/>
  <c r="L25" i="34"/>
  <c r="M25" i="34"/>
  <c r="N25" i="34"/>
  <c r="K25" i="34"/>
  <c r="K21" i="34"/>
  <c r="L21" i="34"/>
  <c r="M21" i="34"/>
  <c r="N21" i="34"/>
  <c r="K22" i="34"/>
  <c r="L22" i="34"/>
  <c r="M22" i="34"/>
  <c r="N22" i="34"/>
  <c r="K23" i="34"/>
  <c r="L23" i="34"/>
  <c r="M23" i="34"/>
  <c r="N23" i="34"/>
  <c r="L20" i="34"/>
  <c r="M20" i="34"/>
  <c r="N20" i="34"/>
  <c r="K20" i="34"/>
  <c r="K16" i="34"/>
  <c r="L16" i="34"/>
  <c r="M16" i="34"/>
  <c r="N16" i="34"/>
  <c r="K17" i="34"/>
  <c r="L17" i="34"/>
  <c r="M17" i="34"/>
  <c r="N17" i="34"/>
  <c r="K18" i="34"/>
  <c r="L18" i="34"/>
  <c r="M18" i="34"/>
  <c r="N18" i="34"/>
  <c r="L15" i="34"/>
  <c r="M15" i="34"/>
  <c r="N15" i="34"/>
  <c r="K15" i="34"/>
  <c r="V57" i="34"/>
  <c r="V58" i="34"/>
  <c r="V59" i="34"/>
  <c r="V60" i="34"/>
  <c r="V61" i="34"/>
  <c r="V62" i="34"/>
  <c r="V63" i="34"/>
  <c r="V64" i="34"/>
  <c r="V56" i="34"/>
  <c r="N57" i="34"/>
  <c r="N58" i="34"/>
  <c r="N59" i="34"/>
  <c r="N60" i="34"/>
  <c r="N61" i="34"/>
  <c r="N62" i="34"/>
  <c r="N63" i="34"/>
  <c r="N64" i="34"/>
  <c r="N65" i="34"/>
  <c r="N66" i="34"/>
  <c r="N56" i="34"/>
  <c r="W61" i="34"/>
  <c r="W58" i="34"/>
  <c r="W57" i="34"/>
  <c r="W59" i="34"/>
  <c r="W60" i="34"/>
  <c r="W62" i="34"/>
  <c r="W63" i="34"/>
  <c r="W64" i="34"/>
  <c r="W65" i="34"/>
  <c r="W56" i="34"/>
  <c r="O57" i="34"/>
  <c r="O58" i="34"/>
  <c r="O59" i="34"/>
  <c r="O60" i="34"/>
  <c r="O61" i="34"/>
  <c r="O62" i="34"/>
  <c r="O63" i="34"/>
  <c r="O64" i="34"/>
  <c r="O65" i="34"/>
  <c r="O66" i="34"/>
  <c r="O56" i="34"/>
  <c r="D29" i="22" l="1"/>
  <c r="D29" i="23"/>
  <c r="D28" i="22"/>
  <c r="D28" i="23"/>
  <c r="D30" i="23"/>
  <c r="D30" i="22"/>
  <c r="D27" i="23"/>
  <c r="D27" i="22"/>
  <c r="E47" i="34"/>
  <c r="E49" i="34" s="1"/>
  <c r="E6" i="34" s="1"/>
  <c r="M96" i="36"/>
  <c r="H36" i="2"/>
  <c r="G10" i="40"/>
  <c r="H10" i="40"/>
  <c r="F15" i="37"/>
  <c r="G32" i="39"/>
  <c r="G41" i="39" s="1"/>
  <c r="E41" i="39"/>
  <c r="G7" i="39"/>
  <c r="G27" i="39" s="1"/>
  <c r="E27" i="39"/>
  <c r="J5" i="37"/>
  <c r="I5" i="37"/>
  <c r="H5" i="37"/>
  <c r="G14" i="37"/>
  <c r="G15" i="37" s="1"/>
  <c r="J9" i="37"/>
  <c r="I9" i="37"/>
  <c r="H9" i="37"/>
  <c r="N50" i="36"/>
  <c r="P50" i="36" s="1"/>
  <c r="G94" i="36"/>
  <c r="G96" i="36" s="1"/>
  <c r="N48" i="36"/>
  <c r="G47" i="34"/>
  <c r="M49" i="36"/>
  <c r="M52" i="36" s="1"/>
  <c r="H7" i="36" s="1"/>
  <c r="E79" i="36"/>
  <c r="F47" i="34"/>
  <c r="F49" i="34" s="1"/>
  <c r="F6" i="34" s="1"/>
  <c r="J52" i="36"/>
  <c r="G7" i="36" s="1"/>
  <c r="M74" i="36"/>
  <c r="M79" i="36" s="1"/>
  <c r="H8" i="36" s="1"/>
  <c r="G7" i="2"/>
  <c r="G9" i="36"/>
  <c r="G104" i="36"/>
  <c r="G10" i="36" s="1"/>
  <c r="I9" i="36"/>
  <c r="I104" i="36"/>
  <c r="I10" i="36" s="1"/>
  <c r="H9" i="36"/>
  <c r="H104" i="36"/>
  <c r="H10" i="36" s="1"/>
  <c r="J79" i="36"/>
  <c r="G8" i="36" s="1"/>
  <c r="G79" i="36"/>
  <c r="F8" i="36" s="1"/>
  <c r="K52" i="36"/>
  <c r="N74" i="36"/>
  <c r="P47" i="36"/>
  <c r="H25" i="34"/>
  <c r="H27" i="34" s="1"/>
  <c r="H47" i="34"/>
  <c r="H49" i="34" s="1"/>
  <c r="H6" i="34" s="1"/>
  <c r="P27" i="1" s="1"/>
  <c r="G49" i="34"/>
  <c r="G6" i="34" s="1"/>
  <c r="H36" i="34"/>
  <c r="H38" i="34" s="1"/>
  <c r="H5" i="34" s="1"/>
  <c r="G36" i="34"/>
  <c r="G38" i="34" s="1"/>
  <c r="G5" i="34" s="1"/>
  <c r="F36" i="34"/>
  <c r="F38" i="34" s="1"/>
  <c r="F5" i="34" s="1"/>
  <c r="E36" i="34"/>
  <c r="E38" i="34" s="1"/>
  <c r="E5" i="34" s="1"/>
  <c r="F25" i="34"/>
  <c r="F27" i="34" s="1"/>
  <c r="G25" i="34"/>
  <c r="G27" i="34" s="1"/>
  <c r="E27" i="34"/>
  <c r="E4" i="34" s="1"/>
  <c r="V67" i="34"/>
  <c r="N67" i="34"/>
  <c r="W67" i="34"/>
  <c r="O67" i="34"/>
  <c r="E64" i="34" s="1"/>
  <c r="K16" i="35"/>
  <c r="L16" i="35" s="1"/>
  <c r="L17" i="35" s="1"/>
  <c r="E16" i="35" s="1"/>
  <c r="H30" i="35"/>
  <c r="P20" i="1" s="1"/>
  <c r="G30" i="35"/>
  <c r="N20" i="1" s="1"/>
  <c r="F30" i="35"/>
  <c r="L20" i="1" s="1"/>
  <c r="J20" i="1"/>
  <c r="M18" i="35"/>
  <c r="F42" i="35"/>
  <c r="F43" i="35"/>
  <c r="G43" i="35" s="1"/>
  <c r="H43" i="35" s="1"/>
  <c r="F44" i="35"/>
  <c r="G44" i="35" s="1"/>
  <c r="H44" i="35" s="1"/>
  <c r="F45" i="35"/>
  <c r="G45" i="35" s="1"/>
  <c r="H45" i="35" s="1"/>
  <c r="E47" i="35"/>
  <c r="E7" i="35" s="1"/>
  <c r="F35" i="35"/>
  <c r="E37" i="35"/>
  <c r="E6" i="35"/>
  <c r="J21" i="1" s="1"/>
  <c r="J22" i="1"/>
  <c r="J23" i="1"/>
  <c r="J17" i="1"/>
  <c r="K53" i="4"/>
  <c r="L53" i="4"/>
  <c r="K43" i="4"/>
  <c r="L43" i="4"/>
  <c r="K42" i="4"/>
  <c r="L42" i="4" s="1"/>
  <c r="K41" i="4"/>
  <c r="L41" i="4"/>
  <c r="K40" i="4"/>
  <c r="L40" i="4" s="1"/>
  <c r="K31" i="4"/>
  <c r="L31" i="4"/>
  <c r="K30" i="4"/>
  <c r="L30" i="4" s="1"/>
  <c r="K29" i="4"/>
  <c r="L29" i="4"/>
  <c r="K28" i="4"/>
  <c r="L28" i="4" s="1"/>
  <c r="K16" i="4"/>
  <c r="L16" i="4" s="1"/>
  <c r="K17" i="4"/>
  <c r="L17" i="4" s="1"/>
  <c r="K18" i="4"/>
  <c r="L18" i="4" s="1"/>
  <c r="K15" i="4"/>
  <c r="L15" i="4" s="1"/>
  <c r="N15" i="4"/>
  <c r="O15" i="4"/>
  <c r="P15" i="4"/>
  <c r="N16" i="4"/>
  <c r="O16" i="4"/>
  <c r="P16" i="4"/>
  <c r="N17" i="4"/>
  <c r="O17" i="4"/>
  <c r="P17" i="4"/>
  <c r="N18" i="4"/>
  <c r="O18" i="4"/>
  <c r="P18" i="4"/>
  <c r="N28" i="4"/>
  <c r="O28" i="4"/>
  <c r="P28" i="4"/>
  <c r="N29" i="4"/>
  <c r="O29" i="4"/>
  <c r="P29" i="4"/>
  <c r="N30" i="4"/>
  <c r="O30" i="4"/>
  <c r="P30" i="4"/>
  <c r="N31" i="4"/>
  <c r="O31" i="4"/>
  <c r="P31" i="4"/>
  <c r="P33" i="4"/>
  <c r="N40" i="4"/>
  <c r="O40" i="4"/>
  <c r="P40" i="4"/>
  <c r="N41" i="4"/>
  <c r="O41" i="4"/>
  <c r="P41" i="4"/>
  <c r="N42" i="4"/>
  <c r="O42" i="4"/>
  <c r="P42" i="4"/>
  <c r="N43" i="4"/>
  <c r="O43" i="4"/>
  <c r="P43" i="4"/>
  <c r="N53" i="4"/>
  <c r="O53" i="4"/>
  <c r="P53" i="4"/>
  <c r="N5" i="18"/>
  <c r="N6" i="18"/>
  <c r="N7" i="18"/>
  <c r="N8" i="18"/>
  <c r="N9" i="18"/>
  <c r="N10" i="18"/>
  <c r="N11" i="18"/>
  <c r="N12" i="18"/>
  <c r="N13" i="18"/>
  <c r="N14" i="18"/>
  <c r="N15" i="18"/>
  <c r="N16" i="18"/>
  <c r="N4" i="18"/>
  <c r="D39" i="3"/>
  <c r="D25" i="3"/>
  <c r="E6" i="3"/>
  <c r="J15" i="1" s="1"/>
  <c r="D65" i="3"/>
  <c r="E7" i="3" s="1"/>
  <c r="J16" i="1" s="1"/>
  <c r="F20" i="4"/>
  <c r="E4" i="4"/>
  <c r="F33" i="4"/>
  <c r="E5" i="4" s="1"/>
  <c r="F45" i="4"/>
  <c r="F52" i="4" s="1"/>
  <c r="F55" i="4" s="1"/>
  <c r="E7" i="4" s="1"/>
  <c r="E6" i="4"/>
  <c r="H42" i="18"/>
  <c r="G4" i="18" s="1"/>
  <c r="H27" i="18"/>
  <c r="H28" i="18"/>
  <c r="H29" i="18"/>
  <c r="H31" i="18"/>
  <c r="H30" i="18"/>
  <c r="H32" i="18"/>
  <c r="H33" i="18"/>
  <c r="G6" i="18" s="1"/>
  <c r="H6" i="18" s="1"/>
  <c r="H34" i="18"/>
  <c r="H35" i="18"/>
  <c r="H36" i="18"/>
  <c r="H37" i="18"/>
  <c r="H38" i="18"/>
  <c r="H39" i="18"/>
  <c r="H40" i="18"/>
  <c r="H41" i="18"/>
  <c r="H43" i="18"/>
  <c r="H44" i="18"/>
  <c r="H45" i="18"/>
  <c r="G46" i="18"/>
  <c r="H46" i="18" s="1"/>
  <c r="G47" i="18"/>
  <c r="H47" i="18"/>
  <c r="G5" i="18"/>
  <c r="G7" i="18"/>
  <c r="G8" i="18"/>
  <c r="G9" i="18"/>
  <c r="G10" i="18"/>
  <c r="G11" i="18"/>
  <c r="G12" i="18"/>
  <c r="G13" i="18"/>
  <c r="G14" i="18"/>
  <c r="G15" i="18"/>
  <c r="G16" i="18"/>
  <c r="F20" i="8"/>
  <c r="F5" i="8" s="1"/>
  <c r="J41" i="1" s="1"/>
  <c r="F6" i="8"/>
  <c r="J42" i="1" s="1"/>
  <c r="G48" i="8"/>
  <c r="G49" i="8"/>
  <c r="G50" i="8"/>
  <c r="G52" i="8"/>
  <c r="F7" i="8" s="1"/>
  <c r="J43" i="1" s="1"/>
  <c r="G71" i="8"/>
  <c r="G72" i="8"/>
  <c r="G73" i="8"/>
  <c r="G74" i="8"/>
  <c r="G75" i="8"/>
  <c r="G77" i="8"/>
  <c r="G93" i="8"/>
  <c r="F94" i="8"/>
  <c r="E94" i="8"/>
  <c r="G94" i="8"/>
  <c r="G96" i="8" s="1"/>
  <c r="E20" i="5"/>
  <c r="E4" i="5"/>
  <c r="E27" i="5"/>
  <c r="E5" i="5"/>
  <c r="E6" i="5"/>
  <c r="E44" i="5"/>
  <c r="E7" i="5" s="1"/>
  <c r="E6" i="11"/>
  <c r="E17" i="12"/>
  <c r="E4" i="12"/>
  <c r="J54" i="1" s="1"/>
  <c r="B53" i="26" s="1"/>
  <c r="D26" i="13"/>
  <c r="E70" i="13" s="1"/>
  <c r="D57" i="13"/>
  <c r="D58" i="13" s="1"/>
  <c r="D53" i="13"/>
  <c r="D56" i="13" s="1"/>
  <c r="E56" i="13" s="1"/>
  <c r="N11" i="14"/>
  <c r="O11" i="14"/>
  <c r="P11" i="14" s="1"/>
  <c r="Q11" i="14" s="1"/>
  <c r="R11" i="14" s="1"/>
  <c r="R15" i="14" s="1"/>
  <c r="E4" i="14" s="1"/>
  <c r="J56" i="1" s="1"/>
  <c r="Q12" i="14"/>
  <c r="R12" i="14" s="1"/>
  <c r="Q13" i="14"/>
  <c r="R13" i="14" s="1"/>
  <c r="H13" i="15"/>
  <c r="G13" i="15" s="1"/>
  <c r="H14" i="15"/>
  <c r="D42" i="13" s="1"/>
  <c r="H17" i="15"/>
  <c r="H18" i="15"/>
  <c r="G18" i="15" s="1"/>
  <c r="H21" i="15"/>
  <c r="G21" i="15" s="1"/>
  <c r="E10" i="5"/>
  <c r="H22" i="15"/>
  <c r="D10" i="16"/>
  <c r="J4" i="18"/>
  <c r="J6" i="18"/>
  <c r="J7" i="18"/>
  <c r="J8" i="18"/>
  <c r="J9" i="18"/>
  <c r="J10" i="18"/>
  <c r="J11" i="18"/>
  <c r="J12" i="18"/>
  <c r="J13" i="18"/>
  <c r="J14" i="18"/>
  <c r="J15" i="18"/>
  <c r="J16" i="18"/>
  <c r="I6" i="18"/>
  <c r="I8" i="18"/>
  <c r="I10" i="18"/>
  <c r="I12" i="18"/>
  <c r="I14" i="18"/>
  <c r="I16" i="18"/>
  <c r="H8" i="18"/>
  <c r="H10" i="18"/>
  <c r="H12" i="18"/>
  <c r="H13" i="18"/>
  <c r="H14" i="18"/>
  <c r="H15" i="18"/>
  <c r="H16" i="18"/>
  <c r="I17" i="8"/>
  <c r="I20" i="8" s="1"/>
  <c r="I5" i="8"/>
  <c r="P42" i="1"/>
  <c r="I6" i="8"/>
  <c r="M47" i="8"/>
  <c r="P47" i="8"/>
  <c r="K48" i="8"/>
  <c r="K49" i="8"/>
  <c r="N49" i="8"/>
  <c r="P49" i="8" s="1"/>
  <c r="K50" i="8"/>
  <c r="N50" i="8"/>
  <c r="P50" i="8"/>
  <c r="P71" i="8"/>
  <c r="P72" i="8"/>
  <c r="P73" i="8"/>
  <c r="K74" i="8"/>
  <c r="N74" i="8"/>
  <c r="P74" i="8" s="1"/>
  <c r="N75" i="8"/>
  <c r="P77" i="8"/>
  <c r="P93" i="8"/>
  <c r="P94" i="8"/>
  <c r="P96" i="8" s="1"/>
  <c r="H17" i="8"/>
  <c r="H20" i="8" s="1"/>
  <c r="H5" i="8" s="1"/>
  <c r="H34" i="8"/>
  <c r="H6" i="8"/>
  <c r="N42" i="1" s="1"/>
  <c r="M49" i="8"/>
  <c r="M50" i="8"/>
  <c r="M71" i="8"/>
  <c r="M72" i="8"/>
  <c r="M73" i="8"/>
  <c r="M74" i="8"/>
  <c r="M75" i="8"/>
  <c r="M77" i="8"/>
  <c r="M79" i="8"/>
  <c r="H8" i="8" s="1"/>
  <c r="N44" i="1" s="1"/>
  <c r="M93" i="8"/>
  <c r="M94" i="8"/>
  <c r="M96" i="8" s="1"/>
  <c r="H9" i="8" s="1"/>
  <c r="N45" i="1" s="1"/>
  <c r="H104" i="8"/>
  <c r="H10" i="8"/>
  <c r="N46" i="1" s="1"/>
  <c r="G17" i="8"/>
  <c r="G20" i="8"/>
  <c r="G5" i="8" s="1"/>
  <c r="L41" i="1" s="1"/>
  <c r="L43" i="1"/>
  <c r="G6" i="8"/>
  <c r="L42" i="1" s="1"/>
  <c r="J48" i="8"/>
  <c r="J49" i="8"/>
  <c r="J50" i="8"/>
  <c r="J52" i="8"/>
  <c r="G7" i="8" s="1"/>
  <c r="I71" i="8"/>
  <c r="J71" i="8"/>
  <c r="I72" i="8"/>
  <c r="J72" i="8" s="1"/>
  <c r="I73" i="8"/>
  <c r="J73" i="8"/>
  <c r="I74" i="8"/>
  <c r="J74" i="8" s="1"/>
  <c r="I75" i="8"/>
  <c r="J75" i="8"/>
  <c r="I77" i="8"/>
  <c r="J77" i="8" s="1"/>
  <c r="J92" i="8"/>
  <c r="J93" i="8"/>
  <c r="J94" i="8"/>
  <c r="J96" i="8"/>
  <c r="I20" i="4"/>
  <c r="H4" i="4"/>
  <c r="I33" i="4"/>
  <c r="H5" i="4" s="1"/>
  <c r="I45" i="4"/>
  <c r="H6" i="4"/>
  <c r="H20" i="4"/>
  <c r="H33" i="4"/>
  <c r="G5" i="4"/>
  <c r="H45" i="4"/>
  <c r="G20" i="4"/>
  <c r="N20" i="4" s="1"/>
  <c r="G33" i="4"/>
  <c r="F5" i="4"/>
  <c r="G45" i="4"/>
  <c r="N45" i="4" s="1"/>
  <c r="F6" i="4"/>
  <c r="G52" i="4"/>
  <c r="F17" i="5"/>
  <c r="F18" i="5"/>
  <c r="F25" i="5"/>
  <c r="F32" i="5"/>
  <c r="G32" i="5" s="1"/>
  <c r="H32" i="5" s="1"/>
  <c r="F6" i="5"/>
  <c r="L23" i="1"/>
  <c r="F39" i="5"/>
  <c r="G39" i="5" s="1"/>
  <c r="F40" i="5"/>
  <c r="G40" i="5" s="1"/>
  <c r="F41" i="5"/>
  <c r="F42" i="5"/>
  <c r="F44" i="5"/>
  <c r="F7" i="5" s="1"/>
  <c r="L22" i="1" s="1"/>
  <c r="G17" i="5"/>
  <c r="H17" i="5"/>
  <c r="G18" i="5"/>
  <c r="H18" i="5" s="1"/>
  <c r="H6" i="5"/>
  <c r="H40" i="5"/>
  <c r="G41" i="5"/>
  <c r="H41" i="5" s="1"/>
  <c r="G42" i="5"/>
  <c r="H42" i="5"/>
  <c r="G6" i="5"/>
  <c r="N23" i="1"/>
  <c r="G29" i="3"/>
  <c r="G37" i="3" s="1"/>
  <c r="G25" i="3"/>
  <c r="G36" i="3" s="1"/>
  <c r="H6" i="3"/>
  <c r="F29" i="3"/>
  <c r="F37" i="3"/>
  <c r="F25" i="3"/>
  <c r="F36" i="3"/>
  <c r="G6" i="3"/>
  <c r="N15" i="1" s="1"/>
  <c r="N17" i="1"/>
  <c r="E29" i="3"/>
  <c r="E37" i="3" s="1"/>
  <c r="E25" i="3"/>
  <c r="E36" i="3"/>
  <c r="L17" i="1"/>
  <c r="F6" i="3"/>
  <c r="L15" i="1" s="1"/>
  <c r="K28" i="18"/>
  <c r="K29" i="18"/>
  <c r="K30" i="18"/>
  <c r="L12" i="18" s="1"/>
  <c r="K31" i="18"/>
  <c r="K32" i="18"/>
  <c r="K33" i="18"/>
  <c r="K34" i="18"/>
  <c r="K35" i="18"/>
  <c r="K36" i="18"/>
  <c r="K37" i="18"/>
  <c r="K38" i="18"/>
  <c r="K39" i="18"/>
  <c r="K40" i="18"/>
  <c r="K41" i="18"/>
  <c r="K42" i="18"/>
  <c r="L4" i="18" s="1"/>
  <c r="K43" i="18"/>
  <c r="K44" i="18"/>
  <c r="K45" i="18"/>
  <c r="K46" i="18"/>
  <c r="K47" i="18"/>
  <c r="K48" i="18"/>
  <c r="J55" i="18"/>
  <c r="K55" i="18" s="1"/>
  <c r="K56" i="18"/>
  <c r="K57" i="18"/>
  <c r="K58" i="18"/>
  <c r="K59" i="18"/>
  <c r="K60" i="18"/>
  <c r="K61" i="18"/>
  <c r="K62" i="18"/>
  <c r="K63" i="18"/>
  <c r="K64" i="18"/>
  <c r="K65" i="18"/>
  <c r="K66" i="18"/>
  <c r="K67" i="18"/>
  <c r="K68" i="18"/>
  <c r="K69" i="18"/>
  <c r="K70" i="18"/>
  <c r="K71" i="18"/>
  <c r="K72" i="18"/>
  <c r="K73" i="18"/>
  <c r="K74" i="18"/>
  <c r="K75" i="18"/>
  <c r="K76" i="18"/>
  <c r="J27" i="18"/>
  <c r="K27" i="18"/>
  <c r="E57" i="4"/>
  <c r="I30" i="23" s="1"/>
  <c r="F10" i="18"/>
  <c r="F11" i="18"/>
  <c r="H76" i="18"/>
  <c r="F12" i="18"/>
  <c r="F46" i="4"/>
  <c r="H30" i="15"/>
  <c r="H31" i="15"/>
  <c r="H32" i="15"/>
  <c r="H35" i="15"/>
  <c r="G35" i="15" s="1"/>
  <c r="H36" i="15"/>
  <c r="I36" i="15" s="1"/>
  <c r="H39" i="15"/>
  <c r="G39" i="15" s="1"/>
  <c r="H40" i="15"/>
  <c r="G74" i="18"/>
  <c r="G73" i="18"/>
  <c r="G72" i="18"/>
  <c r="G71" i="18"/>
  <c r="G78" i="18" s="1"/>
  <c r="G50" i="18"/>
  <c r="D33" i="13"/>
  <c r="D36" i="13" s="1"/>
  <c r="C18" i="14"/>
  <c r="C19" i="14"/>
  <c r="C21" i="14"/>
  <c r="M15" i="14"/>
  <c r="N13" i="14"/>
  <c r="O13" i="14"/>
  <c r="P13" i="14"/>
  <c r="N12" i="14"/>
  <c r="O12" i="14" s="1"/>
  <c r="P12" i="14" s="1"/>
  <c r="N10" i="14"/>
  <c r="O10" i="14"/>
  <c r="G75" i="18"/>
  <c r="H75" i="18"/>
  <c r="F9" i="18"/>
  <c r="H73" i="18"/>
  <c r="F8" i="18" s="1"/>
  <c r="H74" i="18"/>
  <c r="F13" i="18"/>
  <c r="I12" i="15"/>
  <c r="I27" i="23"/>
  <c r="D22" i="1"/>
  <c r="D23" i="1"/>
  <c r="D21" i="1"/>
  <c r="E34" i="5"/>
  <c r="H96" i="8"/>
  <c r="K96" i="8"/>
  <c r="N96" i="8"/>
  <c r="E96" i="8"/>
  <c r="K79" i="8"/>
  <c r="H79" i="8"/>
  <c r="O45" i="8"/>
  <c r="L45" i="8"/>
  <c r="H52" i="8"/>
  <c r="I45" i="8"/>
  <c r="K52" i="8"/>
  <c r="E79" i="8"/>
  <c r="E52" i="8"/>
  <c r="F45" i="8"/>
  <c r="H56" i="18"/>
  <c r="H57" i="18"/>
  <c r="H58" i="18"/>
  <c r="H59" i="18"/>
  <c r="H60" i="18"/>
  <c r="H61" i="18"/>
  <c r="F6" i="18"/>
  <c r="H62" i="18"/>
  <c r="H63" i="18"/>
  <c r="H64" i="18"/>
  <c r="H65" i="18"/>
  <c r="H66" i="18"/>
  <c r="H67" i="18"/>
  <c r="H68" i="18"/>
  <c r="F16" i="18"/>
  <c r="H69" i="18"/>
  <c r="F15" i="18"/>
  <c r="H70" i="18"/>
  <c r="F4" i="18" s="1"/>
  <c r="H55" i="18"/>
  <c r="H72" i="18"/>
  <c r="F14" i="18" s="1"/>
  <c r="H71" i="18"/>
  <c r="F7" i="18"/>
  <c r="H50" i="18"/>
  <c r="F34" i="5"/>
  <c r="E19" i="3"/>
  <c r="E20" i="3" s="1"/>
  <c r="F19" i="3"/>
  <c r="F20" i="3"/>
  <c r="G19" i="3"/>
  <c r="G20" i="3" s="1"/>
  <c r="D19" i="3"/>
  <c r="D20" i="3"/>
  <c r="G34" i="5"/>
  <c r="H34" i="5"/>
  <c r="D6" i="4"/>
  <c r="D5" i="4"/>
  <c r="D4" i="4"/>
  <c r="G15" i="12"/>
  <c r="F15" i="12"/>
  <c r="F11" i="12"/>
  <c r="G11" i="12"/>
  <c r="F12" i="12"/>
  <c r="G12" i="12"/>
  <c r="F13" i="12"/>
  <c r="G13" i="12"/>
  <c r="F14" i="12"/>
  <c r="G14" i="12"/>
  <c r="G10" i="12"/>
  <c r="F10" i="12"/>
  <c r="G58" i="2"/>
  <c r="F8" i="2" s="1"/>
  <c r="L9" i="1" s="1"/>
  <c r="J8" i="1"/>
  <c r="H44" i="2"/>
  <c r="H51" i="2" s="1"/>
  <c r="G44" i="2"/>
  <c r="G51" i="2" s="1"/>
  <c r="G32" i="2"/>
  <c r="G36" i="2" s="1"/>
  <c r="E6" i="2"/>
  <c r="J7" i="1" s="1"/>
  <c r="H15" i="2"/>
  <c r="H20" i="2" s="1"/>
  <c r="H5" i="2" s="1"/>
  <c r="G15" i="2"/>
  <c r="G20" i="2" s="1"/>
  <c r="F5" i="2" s="1"/>
  <c r="L6" i="1" s="1"/>
  <c r="D42" i="1"/>
  <c r="D43" i="1"/>
  <c r="D44" i="1"/>
  <c r="D45" i="1"/>
  <c r="D46" i="1"/>
  <c r="D41" i="1"/>
  <c r="L6" i="18"/>
  <c r="L9" i="18"/>
  <c r="L10" i="18"/>
  <c r="L11" i="18"/>
  <c r="L14" i="18"/>
  <c r="L8" i="18"/>
  <c r="L15" i="18"/>
  <c r="I34" i="23"/>
  <c r="I39" i="23"/>
  <c r="I28" i="23"/>
  <c r="I29" i="23"/>
  <c r="L7" i="18"/>
  <c r="L13" i="18"/>
  <c r="L16" i="18"/>
  <c r="D20" i="1"/>
  <c r="D19" i="1"/>
  <c r="D14" i="1"/>
  <c r="D15" i="1"/>
  <c r="D16" i="1"/>
  <c r="D17" i="1"/>
  <c r="D13" i="1"/>
  <c r="F21" i="4"/>
  <c r="G21" i="4"/>
  <c r="I21" i="4"/>
  <c r="F58" i="2"/>
  <c r="E8" i="2" s="1"/>
  <c r="J9" i="1" s="1"/>
  <c r="F34" i="4"/>
  <c r="F20" i="2"/>
  <c r="E5" i="2" s="1"/>
  <c r="J6" i="1" s="1"/>
  <c r="A49" i="26"/>
  <c r="A4" i="26"/>
  <c r="F56" i="4"/>
  <c r="H34" i="4"/>
  <c r="I34" i="4"/>
  <c r="I46" i="4"/>
  <c r="G46" i="4"/>
  <c r="F65" i="2"/>
  <c r="E9" i="2" s="1"/>
  <c r="J10" i="1" s="1"/>
  <c r="G65" i="2"/>
  <c r="F9" i="2" s="1"/>
  <c r="H65" i="2"/>
  <c r="G9" i="2"/>
  <c r="N10" i="1" s="1"/>
  <c r="I65" i="2"/>
  <c r="H9" i="2" s="1"/>
  <c r="L10" i="1"/>
  <c r="I7" i="4"/>
  <c r="I6" i="4"/>
  <c r="I5" i="4"/>
  <c r="I4" i="4"/>
  <c r="D7" i="4"/>
  <c r="I9" i="4"/>
  <c r="E9" i="4"/>
  <c r="H6" i="11"/>
  <c r="G6" i="11"/>
  <c r="F6" i="11"/>
  <c r="B55" i="26"/>
  <c r="P1" i="22" l="1"/>
  <c r="P19" i="22" s="1"/>
  <c r="E15" i="31"/>
  <c r="M64" i="45"/>
  <c r="P64" i="45"/>
  <c r="N64" i="45"/>
  <c r="O64" i="45"/>
  <c r="P1" i="23"/>
  <c r="M62" i="45"/>
  <c r="P26" i="1"/>
  <c r="P28" i="22" s="1"/>
  <c r="F5" i="45" s="1"/>
  <c r="P25" i="1"/>
  <c r="L1" i="23"/>
  <c r="N1" i="23"/>
  <c r="D16" i="22"/>
  <c r="D16" i="23"/>
  <c r="D45" i="22"/>
  <c r="D45" i="23"/>
  <c r="D21" i="23"/>
  <c r="D21" i="22"/>
  <c r="D44" i="22"/>
  <c r="D44" i="23"/>
  <c r="D23" i="23"/>
  <c r="D23" i="22"/>
  <c r="D17" i="22"/>
  <c r="D17" i="23"/>
  <c r="D46" i="23"/>
  <c r="D46" i="22"/>
  <c r="D24" i="22"/>
  <c r="D24" i="23"/>
  <c r="D15" i="23"/>
  <c r="D15" i="22"/>
  <c r="D43" i="23"/>
  <c r="D43" i="22"/>
  <c r="D19" i="23"/>
  <c r="D19" i="22"/>
  <c r="D48" i="22"/>
  <c r="D48" i="23"/>
  <c r="D18" i="23"/>
  <c r="D18" i="22"/>
  <c r="D22" i="22"/>
  <c r="D22" i="23"/>
  <c r="D47" i="23"/>
  <c r="D47" i="22"/>
  <c r="D25" i="23"/>
  <c r="D25" i="22"/>
  <c r="G31" i="15"/>
  <c r="I31" i="15"/>
  <c r="D41" i="13"/>
  <c r="I13" i="15"/>
  <c r="M16" i="35"/>
  <c r="M17" i="35" s="1"/>
  <c r="F16" i="35" s="1"/>
  <c r="N62" i="45" s="1"/>
  <c r="E57" i="13"/>
  <c r="E58" i="13" s="1"/>
  <c r="G32" i="15"/>
  <c r="I32" i="15"/>
  <c r="G14" i="15"/>
  <c r="I14" i="15"/>
  <c r="I22" i="15"/>
  <c r="I18" i="15"/>
  <c r="D45" i="13" s="1"/>
  <c r="I17" i="15"/>
  <c r="D44" i="13" s="1"/>
  <c r="G17" i="15"/>
  <c r="I40" i="15"/>
  <c r="J1" i="22"/>
  <c r="J10" i="22" s="1"/>
  <c r="J1" i="23"/>
  <c r="I30" i="15"/>
  <c r="H25" i="15"/>
  <c r="G36" i="15"/>
  <c r="I35" i="15"/>
  <c r="F17" i="12"/>
  <c r="F4" i="12" s="1"/>
  <c r="L54" i="1" s="1"/>
  <c r="C53" i="26" s="1"/>
  <c r="G39" i="3"/>
  <c r="H4" i="3" s="1"/>
  <c r="F39" i="3"/>
  <c r="G4" i="3" s="1"/>
  <c r="H14" i="37"/>
  <c r="H15" i="37" s="1"/>
  <c r="I14" i="37"/>
  <c r="J14" i="37"/>
  <c r="J15" i="37" s="1"/>
  <c r="O45" i="4"/>
  <c r="G6" i="4"/>
  <c r="H52" i="4"/>
  <c r="H46" i="4"/>
  <c r="F28" i="34"/>
  <c r="H39" i="34"/>
  <c r="H50" i="34"/>
  <c r="N52" i="36"/>
  <c r="P48" i="36"/>
  <c r="O15" i="14"/>
  <c r="H4" i="14" s="1"/>
  <c r="P56" i="1" s="1"/>
  <c r="P10" i="14"/>
  <c r="H39" i="5"/>
  <c r="H44" i="5" s="1"/>
  <c r="H7" i="5" s="1"/>
  <c r="G44" i="5"/>
  <c r="G7" i="5" s="1"/>
  <c r="N22" i="1" s="1"/>
  <c r="F27" i="5"/>
  <c r="F5" i="5" s="1"/>
  <c r="G25" i="5"/>
  <c r="G16" i="5"/>
  <c r="F20" i="5"/>
  <c r="F4" i="5" s="1"/>
  <c r="P79" i="8"/>
  <c r="I8" i="8" s="1"/>
  <c r="P44" i="1" s="1"/>
  <c r="N19" i="35"/>
  <c r="G17" i="35" s="1"/>
  <c r="O63" i="45" s="1"/>
  <c r="O19" i="35"/>
  <c r="H17" i="35" s="1"/>
  <c r="P63" i="45" s="1"/>
  <c r="M19" i="35"/>
  <c r="F17" i="35" s="1"/>
  <c r="N63" i="45" s="1"/>
  <c r="E17" i="35"/>
  <c r="M63" i="45" s="1"/>
  <c r="I36" i="23"/>
  <c r="I37" i="23"/>
  <c r="I32" i="23"/>
  <c r="I40" i="23"/>
  <c r="N52" i="4"/>
  <c r="G55" i="4"/>
  <c r="N33" i="4"/>
  <c r="G34" i="4"/>
  <c r="N41" i="1"/>
  <c r="H12" i="8"/>
  <c r="E10" i="4"/>
  <c r="I38" i="23"/>
  <c r="G17" i="12"/>
  <c r="P41" i="1"/>
  <c r="D45" i="3"/>
  <c r="D47" i="3" s="1"/>
  <c r="E5" i="3" s="1"/>
  <c r="J14" i="1" s="1"/>
  <c r="E4" i="3"/>
  <c r="I35" i="23"/>
  <c r="H78" i="18"/>
  <c r="G104" i="8"/>
  <c r="G10" i="8" s="1"/>
  <c r="L46" i="1" s="1"/>
  <c r="G9" i="8"/>
  <c r="L45" i="1" s="1"/>
  <c r="J79" i="8"/>
  <c r="G8" i="8" s="1"/>
  <c r="F104" i="8"/>
  <c r="F10" i="8" s="1"/>
  <c r="J46" i="1" s="1"/>
  <c r="F9" i="8"/>
  <c r="J45" i="1" s="1"/>
  <c r="H5" i="18"/>
  <c r="I5" i="18"/>
  <c r="G18" i="18"/>
  <c r="G19" i="18" s="1"/>
  <c r="J5" i="18"/>
  <c r="G42" i="35"/>
  <c r="F47" i="35"/>
  <c r="F7" i="35" s="1"/>
  <c r="P75" i="8"/>
  <c r="N79" i="8"/>
  <c r="F5" i="18"/>
  <c r="F19" i="18" s="1"/>
  <c r="I26" i="23"/>
  <c r="H43" i="15"/>
  <c r="L5" i="18"/>
  <c r="G4" i="4"/>
  <c r="O20" i="4"/>
  <c r="H21" i="4"/>
  <c r="E4" i="16"/>
  <c r="J58" i="1" s="1"/>
  <c r="G4" i="16"/>
  <c r="N58" i="1" s="1"/>
  <c r="F4" i="16"/>
  <c r="L58" i="1" s="1"/>
  <c r="H4" i="16"/>
  <c r="P58" i="1" s="1"/>
  <c r="F56" i="13"/>
  <c r="G56" i="13"/>
  <c r="F57" i="13"/>
  <c r="F70" i="13"/>
  <c r="E39" i="3"/>
  <c r="P20" i="4"/>
  <c r="I104" i="8"/>
  <c r="I10" i="8" s="1"/>
  <c r="P46" i="1" s="1"/>
  <c r="I9" i="8"/>
  <c r="P45" i="1" s="1"/>
  <c r="P47" i="22" s="1"/>
  <c r="F118" i="45" s="1"/>
  <c r="N48" i="8"/>
  <c r="M48" i="8"/>
  <c r="M52" i="8" s="1"/>
  <c r="H7" i="8" s="1"/>
  <c r="N43" i="1" s="1"/>
  <c r="I13" i="18"/>
  <c r="I9" i="18"/>
  <c r="H9" i="18"/>
  <c r="N18" i="35"/>
  <c r="O18" i="35"/>
  <c r="F63" i="3"/>
  <c r="E65" i="3"/>
  <c r="F7" i="3" s="1"/>
  <c r="L16" i="1" s="1"/>
  <c r="P45" i="4"/>
  <c r="I52" i="4"/>
  <c r="G35" i="35"/>
  <c r="F37" i="35"/>
  <c r="F6" i="35"/>
  <c r="L21" i="1" s="1"/>
  <c r="L1" i="22"/>
  <c r="L22" i="22" s="1"/>
  <c r="D62" i="45" s="1"/>
  <c r="N65" i="45" s="1"/>
  <c r="N1" i="22"/>
  <c r="N44" i="22" s="1"/>
  <c r="E115" i="45" s="1"/>
  <c r="F4" i="4"/>
  <c r="O33" i="4"/>
  <c r="I4" i="18"/>
  <c r="H4" i="18"/>
  <c r="G12" i="36"/>
  <c r="H12" i="36"/>
  <c r="G79" i="8"/>
  <c r="F8" i="8" s="1"/>
  <c r="I15" i="18"/>
  <c r="I11" i="18"/>
  <c r="H11" i="18"/>
  <c r="G50" i="34"/>
  <c r="N27" i="1"/>
  <c r="N29" i="22" s="1"/>
  <c r="E6" i="45" s="1"/>
  <c r="F104" i="36"/>
  <c r="F10" i="36" s="1"/>
  <c r="F9" i="36"/>
  <c r="H7" i="18"/>
  <c r="E39" i="34"/>
  <c r="J26" i="1"/>
  <c r="E50" i="34"/>
  <c r="J27" i="1"/>
  <c r="E28" i="34"/>
  <c r="F39" i="34"/>
  <c r="L26" i="1"/>
  <c r="H28" i="34"/>
  <c r="I7" i="18"/>
  <c r="G28" i="34"/>
  <c r="G39" i="34"/>
  <c r="N26" i="1"/>
  <c r="F50" i="34"/>
  <c r="L27" i="1"/>
  <c r="P52" i="36"/>
  <c r="I7" i="36" s="1"/>
  <c r="N8" i="1"/>
  <c r="H58" i="2"/>
  <c r="G8" i="2" s="1"/>
  <c r="N9" i="1" s="1"/>
  <c r="L8" i="1"/>
  <c r="F6" i="2"/>
  <c r="L7" i="1" s="1"/>
  <c r="G6" i="2"/>
  <c r="N7" i="1" s="1"/>
  <c r="J5" i="1"/>
  <c r="G5" i="2"/>
  <c r="N6" i="1" s="1"/>
  <c r="P74" i="36"/>
  <c r="P79" i="36" s="1"/>
  <c r="I8" i="36" s="1"/>
  <c r="I12" i="36" s="1"/>
  <c r="N79" i="36"/>
  <c r="F5" i="35"/>
  <c r="G5" i="35"/>
  <c r="H5" i="35"/>
  <c r="E5" i="35"/>
  <c r="E68" i="34"/>
  <c r="D62" i="34" s="1"/>
  <c r="I7" i="34" s="1"/>
  <c r="P46" i="22" l="1"/>
  <c r="F117" i="45" s="1"/>
  <c r="P8" i="22"/>
  <c r="P38" i="22"/>
  <c r="F33" i="45" s="1"/>
  <c r="P37" i="22"/>
  <c r="F32" i="45" s="1"/>
  <c r="J48" i="22"/>
  <c r="C119" i="45" s="1"/>
  <c r="P10" i="22"/>
  <c r="P35" i="22"/>
  <c r="F30" i="45" s="1"/>
  <c r="P36" i="22"/>
  <c r="F31" i="45" s="1"/>
  <c r="P22" i="22"/>
  <c r="F62" i="45" s="1"/>
  <c r="P65" i="45" s="1"/>
  <c r="P27" i="22"/>
  <c r="F4" i="45" s="1"/>
  <c r="J29" i="22"/>
  <c r="C6" i="45" s="1"/>
  <c r="P33" i="22"/>
  <c r="F28" i="45" s="1"/>
  <c r="L28" i="22"/>
  <c r="D5" i="45" s="1"/>
  <c r="P12" i="22"/>
  <c r="P40" i="22"/>
  <c r="F35" i="45" s="1"/>
  <c r="P32" i="22"/>
  <c r="F27" i="45" s="1"/>
  <c r="P17" i="22"/>
  <c r="P44" i="22"/>
  <c r="F115" i="45" s="1"/>
  <c r="P48" i="22"/>
  <c r="F119" i="45" s="1"/>
  <c r="P43" i="22"/>
  <c r="F114" i="45" s="1"/>
  <c r="P24" i="22"/>
  <c r="F64" i="45" s="1"/>
  <c r="P67" i="45" s="1"/>
  <c r="P34" i="22"/>
  <c r="F29" i="45" s="1"/>
  <c r="P39" i="22"/>
  <c r="F34" i="45" s="1"/>
  <c r="E3" i="33"/>
  <c r="E4" i="33" s="1"/>
  <c r="P25" i="22"/>
  <c r="P29" i="22"/>
  <c r="F6" i="45" s="1"/>
  <c r="J2" i="23"/>
  <c r="N8" i="22"/>
  <c r="J8" i="22"/>
  <c r="J25" i="22"/>
  <c r="J12" i="22"/>
  <c r="L10" i="22"/>
  <c r="J28" i="22"/>
  <c r="C5" i="45" s="1"/>
  <c r="L18" i="22"/>
  <c r="L47" i="22"/>
  <c r="D118" i="45" s="1"/>
  <c r="J7" i="22"/>
  <c r="L29" i="22"/>
  <c r="D6" i="45" s="1"/>
  <c r="J47" i="22"/>
  <c r="C118" i="45" s="1"/>
  <c r="L48" i="22"/>
  <c r="D119" i="45" s="1"/>
  <c r="J16" i="22"/>
  <c r="J22" i="22"/>
  <c r="C62" i="45" s="1"/>
  <c r="M65" i="45" s="1"/>
  <c r="J24" i="22"/>
  <c r="C64" i="45" s="1"/>
  <c r="M67" i="45" s="1"/>
  <c r="J19" i="22"/>
  <c r="J18" i="22"/>
  <c r="L44" i="22"/>
  <c r="D115" i="45" s="1"/>
  <c r="L11" i="22"/>
  <c r="N19" i="22"/>
  <c r="J9" i="22"/>
  <c r="L43" i="22"/>
  <c r="D114" i="45" s="1"/>
  <c r="N48" i="22"/>
  <c r="E119" i="45" s="1"/>
  <c r="L45" i="22"/>
  <c r="D116" i="45" s="1"/>
  <c r="L19" i="22"/>
  <c r="N47" i="22"/>
  <c r="E118" i="45" s="1"/>
  <c r="N38" i="22"/>
  <c r="E33" i="45" s="1"/>
  <c r="N36" i="22"/>
  <c r="E31" i="45" s="1"/>
  <c r="N34" i="22"/>
  <c r="E29" i="45" s="1"/>
  <c r="N32" i="22"/>
  <c r="E27" i="45" s="1"/>
  <c r="N33" i="22"/>
  <c r="E28" i="45" s="1"/>
  <c r="N40" i="22"/>
  <c r="E35" i="45" s="1"/>
  <c r="N35" i="22"/>
  <c r="E30" i="45" s="1"/>
  <c r="N37" i="22"/>
  <c r="E32" i="45" s="1"/>
  <c r="N39" i="22"/>
  <c r="E34" i="45" s="1"/>
  <c r="N22" i="22"/>
  <c r="E62" i="45" s="1"/>
  <c r="O65" i="45" s="1"/>
  <c r="N17" i="22"/>
  <c r="N11" i="22"/>
  <c r="L9" i="22"/>
  <c r="N10" i="22"/>
  <c r="N28" i="22"/>
  <c r="E5" i="45" s="1"/>
  <c r="N45" i="22"/>
  <c r="E116" i="45" s="1"/>
  <c r="N43" i="22"/>
  <c r="E114" i="45" s="1"/>
  <c r="J23" i="22"/>
  <c r="C63" i="45" s="1"/>
  <c r="M66" i="45" s="1"/>
  <c r="J37" i="22"/>
  <c r="C32" i="45" s="1"/>
  <c r="J36" i="22"/>
  <c r="C31" i="45" s="1"/>
  <c r="J39" i="22"/>
  <c r="C34" i="45" s="1"/>
  <c r="J40" i="22"/>
  <c r="C35" i="45" s="1"/>
  <c r="J35" i="22"/>
  <c r="C30" i="45" s="1"/>
  <c r="J33" i="22"/>
  <c r="C28" i="45" s="1"/>
  <c r="J38" i="22"/>
  <c r="C33" i="45" s="1"/>
  <c r="J32" i="22"/>
  <c r="C27" i="45" s="1"/>
  <c r="J34" i="22"/>
  <c r="C29" i="45" s="1"/>
  <c r="N46" i="22"/>
  <c r="E117" i="45" s="1"/>
  <c r="L17" i="22"/>
  <c r="J17" i="22"/>
  <c r="J45" i="22"/>
  <c r="C116" i="45" s="1"/>
  <c r="N25" i="22"/>
  <c r="J43" i="22"/>
  <c r="C114" i="45" s="1"/>
  <c r="N24" i="22"/>
  <c r="E64" i="45" s="1"/>
  <c r="O67" i="45" s="1"/>
  <c r="N12" i="22"/>
  <c r="N9" i="22"/>
  <c r="L23" i="22"/>
  <c r="D63" i="45" s="1"/>
  <c r="N66" i="45" s="1"/>
  <c r="L39" i="22"/>
  <c r="D34" i="45" s="1"/>
  <c r="L37" i="22"/>
  <c r="D32" i="45" s="1"/>
  <c r="L40" i="22"/>
  <c r="D35" i="45" s="1"/>
  <c r="L36" i="22"/>
  <c r="D31" i="45" s="1"/>
  <c r="L38" i="22"/>
  <c r="D33" i="45" s="1"/>
  <c r="L34" i="22"/>
  <c r="D29" i="45" s="1"/>
  <c r="L32" i="22"/>
  <c r="D27" i="45" s="1"/>
  <c r="L35" i="22"/>
  <c r="D30" i="45" s="1"/>
  <c r="L33" i="22"/>
  <c r="D28" i="45" s="1"/>
  <c r="L24" i="22"/>
  <c r="D64" i="45" s="1"/>
  <c r="N67" i="45" s="1"/>
  <c r="L8" i="22"/>
  <c r="J44" i="22"/>
  <c r="C115" i="45" s="1"/>
  <c r="L25" i="22"/>
  <c r="L12" i="22"/>
  <c r="J11" i="22"/>
  <c r="D47" i="13"/>
  <c r="D64" i="13" s="1"/>
  <c r="D66" i="13" s="1"/>
  <c r="D69" i="13" s="1"/>
  <c r="J19" i="1"/>
  <c r="J21" i="22" s="1"/>
  <c r="C61" i="45" s="1"/>
  <c r="M61" i="45" s="1"/>
  <c r="F4" i="35"/>
  <c r="F10" i="35" s="1"/>
  <c r="J10" i="35" s="1"/>
  <c r="O16" i="35"/>
  <c r="O17" i="35" s="1"/>
  <c r="N16" i="35"/>
  <c r="N17" i="35" s="1"/>
  <c r="G16" i="35" s="1"/>
  <c r="I25" i="15"/>
  <c r="E17" i="31"/>
  <c r="J58" i="22"/>
  <c r="J56" i="22"/>
  <c r="B3" i="33"/>
  <c r="B4" i="33" s="1"/>
  <c r="I43" i="15"/>
  <c r="H8" i="2"/>
  <c r="P11" i="22" s="1"/>
  <c r="G45" i="3"/>
  <c r="G47" i="3" s="1"/>
  <c r="H5" i="3" s="1"/>
  <c r="P16" i="22" s="1"/>
  <c r="F45" i="3"/>
  <c r="F47" i="3" s="1"/>
  <c r="G5" i="3" s="1"/>
  <c r="N14" i="1" s="1"/>
  <c r="N16" i="22" s="1"/>
  <c r="L56" i="22"/>
  <c r="L19" i="1"/>
  <c r="L21" i="22" s="1"/>
  <c r="D61" i="45" s="1"/>
  <c r="N61" i="45" s="1"/>
  <c r="N25" i="1"/>
  <c r="N27" i="22" s="1"/>
  <c r="E4" i="45" s="1"/>
  <c r="J25" i="1"/>
  <c r="J27" i="22" s="1"/>
  <c r="C4" i="45" s="1"/>
  <c r="I18" i="18"/>
  <c r="I19" i="18" s="1"/>
  <c r="P48" i="8"/>
  <c r="P52" i="8" s="1"/>
  <c r="I7" i="8" s="1"/>
  <c r="N52" i="8"/>
  <c r="F4" i="3"/>
  <c r="E45" i="3"/>
  <c r="E47" i="3" s="1"/>
  <c r="F5" i="3" s="1"/>
  <c r="L14" i="1" s="1"/>
  <c r="L16" i="22" s="1"/>
  <c r="N60" i="22"/>
  <c r="D57" i="26"/>
  <c r="N13" i="1"/>
  <c r="N15" i="22" s="1"/>
  <c r="G4" i="12"/>
  <c r="N54" i="1" s="1"/>
  <c r="H4" i="12"/>
  <c r="P54" i="1" s="1"/>
  <c r="K52" i="4"/>
  <c r="L52" i="4" s="1"/>
  <c r="P52" i="4"/>
  <c r="I55" i="4"/>
  <c r="G63" i="3"/>
  <c r="G65" i="3" s="1"/>
  <c r="H7" i="3" s="1"/>
  <c r="P18" i="22" s="1"/>
  <c r="F65" i="3"/>
  <c r="G7" i="3" s="1"/>
  <c r="N16" i="1" s="1"/>
  <c r="N18" i="22" s="1"/>
  <c r="N40" i="1"/>
  <c r="N42" i="22" s="1"/>
  <c r="F10" i="5"/>
  <c r="P58" i="22"/>
  <c r="E55" i="26"/>
  <c r="L25" i="1"/>
  <c r="L27" i="22" s="1"/>
  <c r="D4" i="45" s="1"/>
  <c r="J44" i="1"/>
  <c r="J46" i="22" s="1"/>
  <c r="C117" i="45" s="1"/>
  <c r="F12" i="8"/>
  <c r="H18" i="18"/>
  <c r="H19" i="18" s="1"/>
  <c r="C3" i="33"/>
  <c r="C4" i="33" s="1"/>
  <c r="H35" i="35"/>
  <c r="G37" i="35"/>
  <c r="G6" i="35"/>
  <c r="N21" i="1" s="1"/>
  <c r="N23" i="22" s="1"/>
  <c r="E63" i="45" s="1"/>
  <c r="O66" i="45" s="1"/>
  <c r="F58" i="13"/>
  <c r="G57" i="13"/>
  <c r="G58" i="13" s="1"/>
  <c r="C57" i="26"/>
  <c r="L60" i="22"/>
  <c r="J18" i="18"/>
  <c r="J19" i="18" s="1"/>
  <c r="H25" i="5"/>
  <c r="H27" i="5" s="1"/>
  <c r="H5" i="5" s="1"/>
  <c r="G27" i="5"/>
  <c r="G5" i="5" s="1"/>
  <c r="I33" i="23"/>
  <c r="I31" i="23" s="1"/>
  <c r="I52" i="23" s="1"/>
  <c r="I29" i="1"/>
  <c r="I31" i="22" s="1"/>
  <c r="L18" i="18"/>
  <c r="J13" i="1"/>
  <c r="J15" i="22" s="1"/>
  <c r="E10" i="3"/>
  <c r="N55" i="4"/>
  <c r="F7" i="4"/>
  <c r="F9" i="4" s="1"/>
  <c r="F10" i="4" s="1"/>
  <c r="G56" i="4"/>
  <c r="P15" i="14"/>
  <c r="G4" i="14" s="1"/>
  <c r="N56" i="1" s="1"/>
  <c r="Q10" i="14"/>
  <c r="Q15" i="14" s="1"/>
  <c r="F4" i="14" s="1"/>
  <c r="L56" i="1" s="1"/>
  <c r="O52" i="4"/>
  <c r="H55" i="4"/>
  <c r="J29" i="1"/>
  <c r="J31" i="22" s="1"/>
  <c r="B57" i="26"/>
  <c r="J60" i="22"/>
  <c r="I28" i="1"/>
  <c r="I30" i="22" s="1"/>
  <c r="I9" i="34"/>
  <c r="I24" i="1" s="1"/>
  <c r="I26" i="22" s="1"/>
  <c r="D3" i="33"/>
  <c r="D4" i="33" s="1"/>
  <c r="G70" i="13"/>
  <c r="P60" i="22"/>
  <c r="E57" i="26"/>
  <c r="G47" i="35"/>
  <c r="G7" i="35" s="1"/>
  <c r="H42" i="35"/>
  <c r="H47" i="35" s="1"/>
  <c r="H7" i="35" s="1"/>
  <c r="G12" i="8"/>
  <c r="L44" i="1"/>
  <c r="L46" i="22" s="1"/>
  <c r="D117" i="45" s="1"/>
  <c r="H16" i="5"/>
  <c r="H20" i="5" s="1"/>
  <c r="H4" i="5" s="1"/>
  <c r="G20" i="5"/>
  <c r="G4" i="5" s="1"/>
  <c r="L5" i="1"/>
  <c r="L7" i="22" s="1"/>
  <c r="H6" i="2"/>
  <c r="P9" i="22" s="1"/>
  <c r="N5" i="1"/>
  <c r="N7" i="22" s="1"/>
  <c r="E120" i="45" l="1"/>
  <c r="D120" i="45"/>
  <c r="C120" i="45"/>
  <c r="G27" i="45"/>
  <c r="C70" i="26"/>
  <c r="D151" i="45"/>
  <c r="B66" i="26"/>
  <c r="C146" i="45"/>
  <c r="E70" i="26"/>
  <c r="F151" i="45"/>
  <c r="E68" i="26"/>
  <c r="F149" i="45"/>
  <c r="D70" i="26"/>
  <c r="E151" i="45"/>
  <c r="B68" i="26"/>
  <c r="C149" i="45"/>
  <c r="B70" i="26"/>
  <c r="C151" i="45"/>
  <c r="C66" i="26"/>
  <c r="D146" i="45"/>
  <c r="N68" i="45"/>
  <c r="R67" i="45" s="1"/>
  <c r="M68" i="45"/>
  <c r="Q66" i="45" s="1"/>
  <c r="H16" i="35"/>
  <c r="P62" i="45" s="1"/>
  <c r="N19" i="1"/>
  <c r="N21" i="22" s="1"/>
  <c r="E61" i="45" s="1"/>
  <c r="O61" i="45" s="1"/>
  <c r="O62" i="45"/>
  <c r="I52" i="22"/>
  <c r="D71" i="13"/>
  <c r="D73" i="13" s="1"/>
  <c r="F5" i="13" s="1"/>
  <c r="J55" i="1" s="1"/>
  <c r="J57" i="23" s="1"/>
  <c r="C253" i="45" s="1"/>
  <c r="E69" i="13"/>
  <c r="E4" i="35"/>
  <c r="E10" i="35" s="1"/>
  <c r="D22" i="15" s="1"/>
  <c r="G22" i="15" s="1"/>
  <c r="G25" i="15" s="1"/>
  <c r="D51" i="15" s="1"/>
  <c r="E51" i="15" s="1"/>
  <c r="F5" i="15" s="1"/>
  <c r="L57" i="1" s="1"/>
  <c r="G10" i="3"/>
  <c r="H10" i="3"/>
  <c r="L2" i="23"/>
  <c r="L12" i="23" s="1"/>
  <c r="D215" i="45" s="1"/>
  <c r="M208" i="45" s="1"/>
  <c r="J47" i="23"/>
  <c r="J56" i="23"/>
  <c r="C248" i="45" s="1"/>
  <c r="J11" i="23"/>
  <c r="J29" i="23"/>
  <c r="J38" i="23"/>
  <c r="J19" i="23"/>
  <c r="J18" i="23"/>
  <c r="J25" i="23"/>
  <c r="J58" i="23"/>
  <c r="C252" i="45" s="1"/>
  <c r="J39" i="23"/>
  <c r="J10" i="23"/>
  <c r="J21" i="23"/>
  <c r="J28" i="23"/>
  <c r="J15" i="23"/>
  <c r="J23" i="23"/>
  <c r="J34" i="23"/>
  <c r="J51" i="23"/>
  <c r="J22" i="23"/>
  <c r="J40" i="23"/>
  <c r="J24" i="23"/>
  <c r="J8" i="23"/>
  <c r="J48" i="23"/>
  <c r="J32" i="23"/>
  <c r="J16" i="23"/>
  <c r="P2" i="23"/>
  <c r="J27" i="23"/>
  <c r="J31" i="23"/>
  <c r="J17" i="23"/>
  <c r="J45" i="23"/>
  <c r="J44" i="23"/>
  <c r="J12" i="23"/>
  <c r="C215" i="45" s="1"/>
  <c r="J60" i="23"/>
  <c r="C250" i="45" s="1"/>
  <c r="N2" i="23"/>
  <c r="N10" i="23" s="1"/>
  <c r="J35" i="23"/>
  <c r="J43" i="23"/>
  <c r="J7" i="23"/>
  <c r="C214" i="45" s="1"/>
  <c r="J37" i="23"/>
  <c r="J46" i="23"/>
  <c r="J33" i="23"/>
  <c r="J9" i="23"/>
  <c r="J36" i="23"/>
  <c r="J12" i="1"/>
  <c r="J14" i="22" s="1"/>
  <c r="J18" i="1"/>
  <c r="N58" i="22"/>
  <c r="D55" i="26"/>
  <c r="I50" i="1"/>
  <c r="H10" i="5"/>
  <c r="P31" i="22"/>
  <c r="H6" i="35"/>
  <c r="P21" i="1" s="1"/>
  <c r="P23" i="22" s="1"/>
  <c r="F63" i="45" s="1"/>
  <c r="P66" i="45" s="1"/>
  <c r="H37" i="35"/>
  <c r="J40" i="1"/>
  <c r="J42" i="22" s="1"/>
  <c r="D53" i="26"/>
  <c r="N56" i="22"/>
  <c r="C55" i="26"/>
  <c r="L58" i="22"/>
  <c r="K55" i="4"/>
  <c r="L55" i="4" s="1"/>
  <c r="P55" i="4"/>
  <c r="I56" i="4"/>
  <c r="H7" i="4"/>
  <c r="H9" i="4" s="1"/>
  <c r="H10" i="4" s="1"/>
  <c r="L13" i="1"/>
  <c r="L15" i="22" s="1"/>
  <c r="F10" i="3"/>
  <c r="N29" i="1"/>
  <c r="N31" i="22" s="1"/>
  <c r="H58" i="34"/>
  <c r="H60" i="34" s="1"/>
  <c r="H7" i="34" s="1"/>
  <c r="L40" i="1"/>
  <c r="L42" i="22" s="1"/>
  <c r="B26" i="26"/>
  <c r="B11" i="26"/>
  <c r="L29" i="1"/>
  <c r="L31" i="22" s="1"/>
  <c r="N12" i="1"/>
  <c r="N14" i="22" s="1"/>
  <c r="G10" i="5"/>
  <c r="O55" i="4"/>
  <c r="G7" i="4"/>
  <c r="G9" i="4" s="1"/>
  <c r="G10" i="4" s="1"/>
  <c r="H56" i="4"/>
  <c r="D28" i="26"/>
  <c r="N47" i="1"/>
  <c r="N49" i="22" s="1"/>
  <c r="D13" i="26"/>
  <c r="E53" i="26"/>
  <c r="P56" i="22"/>
  <c r="P43" i="1"/>
  <c r="P45" i="22" s="1"/>
  <c r="F116" i="45" s="1"/>
  <c r="F120" i="45" s="1"/>
  <c r="I12" i="8"/>
  <c r="L18" i="1"/>
  <c r="L20" i="22" s="1"/>
  <c r="P5" i="1"/>
  <c r="F58" i="34"/>
  <c r="F60" i="34" s="1"/>
  <c r="F7" i="34" s="1"/>
  <c r="F9" i="34" s="1"/>
  <c r="F10" i="34" s="1"/>
  <c r="E58" i="34"/>
  <c r="E60" i="34" s="1"/>
  <c r="E7" i="34" s="1"/>
  <c r="E9" i="34" s="1"/>
  <c r="E10" i="34" s="1"/>
  <c r="G58" i="34"/>
  <c r="G60" i="34" s="1"/>
  <c r="G7" i="34" s="1"/>
  <c r="G9" i="34" s="1"/>
  <c r="G10" i="34" s="1"/>
  <c r="R66" i="45" l="1"/>
  <c r="Q63" i="45"/>
  <c r="Q64" i="45"/>
  <c r="Q62" i="45"/>
  <c r="Q65" i="45"/>
  <c r="Q67" i="45"/>
  <c r="C282" i="45"/>
  <c r="C210" i="45"/>
  <c r="P16" i="23"/>
  <c r="R2" i="23"/>
  <c r="P26" i="23"/>
  <c r="R65" i="45"/>
  <c r="R64" i="45"/>
  <c r="R63" i="45"/>
  <c r="R62" i="45"/>
  <c r="Q61" i="45"/>
  <c r="R61" i="45"/>
  <c r="E66" i="26"/>
  <c r="F146" i="45"/>
  <c r="D66" i="26"/>
  <c r="E146" i="45"/>
  <c r="D68" i="26"/>
  <c r="E149" i="45"/>
  <c r="C68" i="26"/>
  <c r="D149" i="45"/>
  <c r="O68" i="45"/>
  <c r="S62" i="45" s="1"/>
  <c r="G4" i="35"/>
  <c r="G10" i="35" s="1"/>
  <c r="K10" i="35" s="1"/>
  <c r="F51" i="15"/>
  <c r="G5" i="15" s="1"/>
  <c r="N57" i="1" s="1"/>
  <c r="N59" i="23" s="1"/>
  <c r="P28" i="1"/>
  <c r="P30" i="22" s="1"/>
  <c r="F7" i="45" s="1"/>
  <c r="H9" i="34"/>
  <c r="H10" i="34" s="1"/>
  <c r="L36" i="23"/>
  <c r="J14" i="23"/>
  <c r="P7" i="22"/>
  <c r="J42" i="23"/>
  <c r="J20" i="23"/>
  <c r="J20" i="22"/>
  <c r="B24" i="26" s="1"/>
  <c r="J57" i="22"/>
  <c r="B54" i="26"/>
  <c r="F69" i="13"/>
  <c r="E71" i="13"/>
  <c r="E73" i="13" s="1"/>
  <c r="G5" i="13" s="1"/>
  <c r="L55" i="1" s="1"/>
  <c r="E5" i="15"/>
  <c r="J57" i="1" s="1"/>
  <c r="J59" i="22" s="1"/>
  <c r="N18" i="1"/>
  <c r="N20" i="22" s="1"/>
  <c r="L60" i="23"/>
  <c r="L27" i="23"/>
  <c r="L7" i="23"/>
  <c r="D214" i="45" s="1"/>
  <c r="M209" i="45" s="1"/>
  <c r="L21" i="23"/>
  <c r="L47" i="23"/>
  <c r="L34" i="23"/>
  <c r="L20" i="23"/>
  <c r="D212" i="45" s="1"/>
  <c r="M211" i="45" s="1"/>
  <c r="P40" i="23"/>
  <c r="L37" i="23"/>
  <c r="L56" i="23"/>
  <c r="L51" i="23"/>
  <c r="L11" i="23"/>
  <c r="L33" i="23"/>
  <c r="L32" i="23"/>
  <c r="L23" i="23"/>
  <c r="L19" i="23"/>
  <c r="L43" i="23"/>
  <c r="L38" i="23"/>
  <c r="L25" i="23"/>
  <c r="L42" i="23"/>
  <c r="D209" i="45" s="1"/>
  <c r="M214" i="45" s="1"/>
  <c r="L45" i="23"/>
  <c r="L40" i="23"/>
  <c r="L24" i="23"/>
  <c r="L8" i="23"/>
  <c r="L58" i="23"/>
  <c r="L31" i="23"/>
  <c r="D210" i="45" s="1"/>
  <c r="M213" i="45" s="1"/>
  <c r="L22" i="23"/>
  <c r="L17" i="23"/>
  <c r="L48" i="23"/>
  <c r="L16" i="23"/>
  <c r="L39" i="23"/>
  <c r="L35" i="23"/>
  <c r="L15" i="23"/>
  <c r="L46" i="23"/>
  <c r="L10" i="23"/>
  <c r="L29" i="23"/>
  <c r="L9" i="23"/>
  <c r="L18" i="23"/>
  <c r="L44" i="23"/>
  <c r="L28" i="23"/>
  <c r="P19" i="23"/>
  <c r="P24" i="23"/>
  <c r="N48" i="23"/>
  <c r="P18" i="23"/>
  <c r="P60" i="23"/>
  <c r="P38" i="23"/>
  <c r="N11" i="23"/>
  <c r="P27" i="23"/>
  <c r="P48" i="23"/>
  <c r="P7" i="23"/>
  <c r="F214" i="45" s="1"/>
  <c r="N22" i="23"/>
  <c r="P28" i="23"/>
  <c r="P43" i="23"/>
  <c r="P8" i="23"/>
  <c r="P22" i="23"/>
  <c r="P29" i="23"/>
  <c r="P58" i="23"/>
  <c r="P35" i="23"/>
  <c r="P25" i="23"/>
  <c r="P46" i="23"/>
  <c r="P11" i="23"/>
  <c r="N58" i="23"/>
  <c r="N36" i="23"/>
  <c r="N12" i="23"/>
  <c r="E215" i="45" s="1"/>
  <c r="N60" i="23"/>
  <c r="N33" i="23"/>
  <c r="N43" i="23"/>
  <c r="N27" i="23"/>
  <c r="N38" i="23"/>
  <c r="N21" i="23"/>
  <c r="N17" i="23"/>
  <c r="N40" i="23"/>
  <c r="N8" i="23"/>
  <c r="N39" i="23"/>
  <c r="N23" i="23"/>
  <c r="N7" i="23"/>
  <c r="E214" i="45" s="1"/>
  <c r="N28" i="23"/>
  <c r="N34" i="23"/>
  <c r="N18" i="23"/>
  <c r="P56" i="23"/>
  <c r="N56" i="23"/>
  <c r="P45" i="23"/>
  <c r="P10" i="23"/>
  <c r="P34" i="23"/>
  <c r="P17" i="23"/>
  <c r="P32" i="23"/>
  <c r="P39" i="23"/>
  <c r="P9" i="23"/>
  <c r="P37" i="23"/>
  <c r="N37" i="23"/>
  <c r="N45" i="23"/>
  <c r="N25" i="23"/>
  <c r="N32" i="23"/>
  <c r="N51" i="23"/>
  <c r="N35" i="23"/>
  <c r="N19" i="23"/>
  <c r="N46" i="23"/>
  <c r="N14" i="23"/>
  <c r="E213" i="45" s="1"/>
  <c r="P36" i="23"/>
  <c r="P44" i="23"/>
  <c r="P47" i="23"/>
  <c r="P12" i="23"/>
  <c r="F215" i="45" s="1"/>
  <c r="P23" i="23"/>
  <c r="P31" i="23"/>
  <c r="F210" i="45" s="1"/>
  <c r="P51" i="23"/>
  <c r="P33" i="23"/>
  <c r="N49" i="23"/>
  <c r="N29" i="23"/>
  <c r="N9" i="23"/>
  <c r="N24" i="23"/>
  <c r="N47" i="23"/>
  <c r="N31" i="23"/>
  <c r="E210" i="45" s="1"/>
  <c r="N15" i="23"/>
  <c r="N44" i="23"/>
  <c r="N16" i="23"/>
  <c r="N42" i="23"/>
  <c r="E209" i="45" s="1"/>
  <c r="C24" i="26"/>
  <c r="C9" i="26"/>
  <c r="E11" i="26"/>
  <c r="E26" i="26"/>
  <c r="D23" i="26"/>
  <c r="D8" i="26"/>
  <c r="C26" i="26"/>
  <c r="C11" i="26"/>
  <c r="H61" i="34"/>
  <c r="G61" i="34"/>
  <c r="C28" i="26"/>
  <c r="C13" i="26"/>
  <c r="L47" i="1"/>
  <c r="L49" i="22" s="1"/>
  <c r="L12" i="1"/>
  <c r="C56" i="26"/>
  <c r="L59" i="23"/>
  <c r="L59" i="22"/>
  <c r="E61" i="34"/>
  <c r="P40" i="1"/>
  <c r="P42" i="22" s="1"/>
  <c r="B9" i="26"/>
  <c r="D11" i="26"/>
  <c r="D26" i="26"/>
  <c r="F61" i="34"/>
  <c r="B13" i="26"/>
  <c r="B28" i="26"/>
  <c r="J47" i="1"/>
  <c r="B8" i="26"/>
  <c r="B23" i="26"/>
  <c r="Q68" i="45" l="1"/>
  <c r="S61" i="45"/>
  <c r="D82" i="26"/>
  <c r="E252" i="45"/>
  <c r="B80" i="26"/>
  <c r="D248" i="45"/>
  <c r="M253" i="45" s="1"/>
  <c r="C279" i="45"/>
  <c r="C213" i="45"/>
  <c r="D83" i="26"/>
  <c r="E251" i="45"/>
  <c r="D80" i="26"/>
  <c r="E248" i="45"/>
  <c r="F84" i="26"/>
  <c r="F250" i="45"/>
  <c r="B82" i="26"/>
  <c r="D252" i="45"/>
  <c r="M249" i="45" s="1"/>
  <c r="B83" i="26"/>
  <c r="D251" i="45"/>
  <c r="M250" i="45" s="1"/>
  <c r="R68" i="45"/>
  <c r="D84" i="26"/>
  <c r="E250" i="45"/>
  <c r="B84" i="26"/>
  <c r="D250" i="45"/>
  <c r="M251" i="45" s="1"/>
  <c r="C280" i="45"/>
  <c r="C212" i="45"/>
  <c r="F82" i="26"/>
  <c r="F252" i="45"/>
  <c r="F80" i="26"/>
  <c r="F248" i="45"/>
  <c r="C209" i="45"/>
  <c r="S64" i="45"/>
  <c r="S63" i="45"/>
  <c r="S66" i="45"/>
  <c r="S65" i="45"/>
  <c r="S67" i="45"/>
  <c r="F211" i="45"/>
  <c r="B69" i="26"/>
  <c r="C150" i="45"/>
  <c r="C69" i="26"/>
  <c r="D150" i="45"/>
  <c r="B41" i="26"/>
  <c r="D282" i="45"/>
  <c r="D38" i="26"/>
  <c r="D93" i="26" s="1"/>
  <c r="E279" i="45"/>
  <c r="D43" i="26"/>
  <c r="D95" i="26" s="1"/>
  <c r="E284" i="45"/>
  <c r="D41" i="26"/>
  <c r="E282" i="45"/>
  <c r="F41" i="26"/>
  <c r="F282" i="45"/>
  <c r="B43" i="26"/>
  <c r="B95" i="26" s="1"/>
  <c r="D284" i="45"/>
  <c r="C284" i="45"/>
  <c r="B67" i="26"/>
  <c r="C148" i="45"/>
  <c r="D56" i="26"/>
  <c r="N59" i="22"/>
  <c r="P19" i="1"/>
  <c r="H4" i="35"/>
  <c r="H10" i="35" s="1"/>
  <c r="J59" i="23"/>
  <c r="C251" i="45" s="1"/>
  <c r="B39" i="26"/>
  <c r="D280" i="45"/>
  <c r="B56" i="26"/>
  <c r="N20" i="23"/>
  <c r="E212" i="45" s="1"/>
  <c r="L49" i="23"/>
  <c r="J49" i="22"/>
  <c r="J49" i="23"/>
  <c r="L14" i="23"/>
  <c r="D213" i="45" s="1"/>
  <c r="M210" i="45" s="1"/>
  <c r="L14" i="22"/>
  <c r="C23" i="26" s="1"/>
  <c r="P42" i="23"/>
  <c r="F209" i="45" s="1"/>
  <c r="C54" i="26"/>
  <c r="L57" i="22"/>
  <c r="G69" i="13"/>
  <c r="G71" i="13" s="1"/>
  <c r="G73" i="13" s="1"/>
  <c r="I5" i="13" s="1"/>
  <c r="P55" i="1" s="1"/>
  <c r="F71" i="13"/>
  <c r="F73" i="13" s="1"/>
  <c r="H5" i="13" s="1"/>
  <c r="N55" i="1" s="1"/>
  <c r="L57" i="23"/>
  <c r="D9" i="26"/>
  <c r="D24" i="26"/>
  <c r="E28" i="26"/>
  <c r="P47" i="1"/>
  <c r="E13" i="26"/>
  <c r="P26" i="22"/>
  <c r="L28" i="1"/>
  <c r="C8" i="26"/>
  <c r="N28" i="1"/>
  <c r="J28" i="1"/>
  <c r="S68" i="45" l="1"/>
  <c r="B81" i="26"/>
  <c r="D253" i="45"/>
  <c r="M248" i="45" s="1"/>
  <c r="D69" i="26"/>
  <c r="E150" i="45"/>
  <c r="B38" i="26"/>
  <c r="B93" i="26" s="1"/>
  <c r="D279" i="45"/>
  <c r="F43" i="26"/>
  <c r="F95" i="26" s="1"/>
  <c r="F284" i="45"/>
  <c r="C67" i="26"/>
  <c r="D148" i="45"/>
  <c r="L10" i="35"/>
  <c r="P21" i="22"/>
  <c r="F61" i="45" s="1"/>
  <c r="P61" i="45" s="1"/>
  <c r="P18" i="1"/>
  <c r="P21" i="23"/>
  <c r="D39" i="26"/>
  <c r="E280" i="45"/>
  <c r="N30" i="23"/>
  <c r="N30" i="22"/>
  <c r="E7" i="45" s="1"/>
  <c r="L30" i="23"/>
  <c r="L30" i="22"/>
  <c r="D7" i="45" s="1"/>
  <c r="J30" i="23"/>
  <c r="J30" i="22"/>
  <c r="C7" i="45" s="1"/>
  <c r="P49" i="22"/>
  <c r="P49" i="23"/>
  <c r="P30" i="23"/>
  <c r="P57" i="22"/>
  <c r="E54" i="26"/>
  <c r="P57" i="23"/>
  <c r="D54" i="26"/>
  <c r="N57" i="23"/>
  <c r="N57" i="22"/>
  <c r="P68" i="45" l="1"/>
  <c r="T61" i="45" s="1"/>
  <c r="D81" i="26"/>
  <c r="E253" i="45"/>
  <c r="F81" i="26"/>
  <c r="F253" i="45"/>
  <c r="D67" i="26"/>
  <c r="E148" i="45"/>
  <c r="E67" i="26"/>
  <c r="F148" i="45"/>
  <c r="G40" i="15"/>
  <c r="G43" i="15" s="1"/>
  <c r="P20" i="23"/>
  <c r="F212" i="45" s="1"/>
  <c r="E9" i="26"/>
  <c r="P20" i="22"/>
  <c r="E24" i="26" s="1"/>
  <c r="N26" i="23"/>
  <c r="E211" i="45" s="1"/>
  <c r="N26" i="22"/>
  <c r="D25" i="26" s="1"/>
  <c r="J26" i="23"/>
  <c r="J26" i="22"/>
  <c r="B25" i="26" s="1"/>
  <c r="L26" i="23"/>
  <c r="D211" i="45" s="1"/>
  <c r="M212" i="45" s="1"/>
  <c r="L26" i="22"/>
  <c r="C25" i="26" s="1"/>
  <c r="C10" i="26"/>
  <c r="F4" i="7"/>
  <c r="F7" i="7" s="1"/>
  <c r="L39" i="1" s="1"/>
  <c r="L41" i="22" s="1"/>
  <c r="G4" i="7"/>
  <c r="G7" i="7" s="1"/>
  <c r="N39" i="1" s="1"/>
  <c r="D10" i="26"/>
  <c r="B10" i="26"/>
  <c r="E4" i="7"/>
  <c r="E7" i="7" s="1"/>
  <c r="J39" i="1" s="1"/>
  <c r="C211" i="45" l="1"/>
  <c r="C179" i="45"/>
  <c r="T63" i="45"/>
  <c r="T65" i="45"/>
  <c r="T64" i="45"/>
  <c r="T67" i="45"/>
  <c r="T62" i="45"/>
  <c r="T66" i="45"/>
  <c r="J41" i="22"/>
  <c r="B27" i="26" s="1"/>
  <c r="E4" i="11"/>
  <c r="J53" i="1" s="1"/>
  <c r="J52" i="1" s="1"/>
  <c r="C281" i="45"/>
  <c r="B40" i="26"/>
  <c r="D281" i="45"/>
  <c r="D179" i="45"/>
  <c r="M177" i="45" s="1"/>
  <c r="D40" i="26"/>
  <c r="E281" i="45"/>
  <c r="E179" i="45"/>
  <c r="F39" i="26"/>
  <c r="F280" i="45"/>
  <c r="D45" i="15"/>
  <c r="G51" i="15"/>
  <c r="H5" i="15" s="1"/>
  <c r="P57" i="1" s="1"/>
  <c r="N41" i="23"/>
  <c r="E208" i="45" s="1"/>
  <c r="N41" i="22"/>
  <c r="D27" i="26" s="1"/>
  <c r="J41" i="23"/>
  <c r="C208" i="45" s="1"/>
  <c r="F4" i="11"/>
  <c r="L53" i="1" s="1"/>
  <c r="L52" i="1" s="1"/>
  <c r="L41" i="23"/>
  <c r="D208" i="45" s="1"/>
  <c r="M215" i="45" s="1"/>
  <c r="D12" i="26"/>
  <c r="H68" i="2"/>
  <c r="H71" i="2" s="1"/>
  <c r="G10" i="2" s="1"/>
  <c r="F68" i="2"/>
  <c r="F71" i="2" s="1"/>
  <c r="E10" i="2" s="1"/>
  <c r="B12" i="26"/>
  <c r="G4" i="11"/>
  <c r="N53" i="1" s="1"/>
  <c r="C27" i="26"/>
  <c r="G68" i="2"/>
  <c r="G71" i="2" s="1"/>
  <c r="F10" i="2" s="1"/>
  <c r="C12" i="26"/>
  <c r="T68" i="45" l="1"/>
  <c r="B42" i="26"/>
  <c r="B92" i="26" s="1"/>
  <c r="D178" i="45"/>
  <c r="M178" i="45" s="1"/>
  <c r="D283" i="45"/>
  <c r="D42" i="26"/>
  <c r="D92" i="26" s="1"/>
  <c r="E178" i="45"/>
  <c r="E283" i="45"/>
  <c r="C178" i="45"/>
  <c r="C283" i="45"/>
  <c r="P59" i="22"/>
  <c r="P59" i="23"/>
  <c r="E56" i="26"/>
  <c r="J55" i="22"/>
  <c r="B52" i="26"/>
  <c r="B58" i="26" s="1"/>
  <c r="L55" i="23"/>
  <c r="J55" i="23"/>
  <c r="C249" i="45" s="1"/>
  <c r="C254" i="45" s="1"/>
  <c r="C52" i="26"/>
  <c r="C58" i="26" s="1"/>
  <c r="L55" i="22"/>
  <c r="N11" i="1"/>
  <c r="G12" i="2"/>
  <c r="D52" i="26"/>
  <c r="D58" i="26" s="1"/>
  <c r="N55" i="23"/>
  <c r="N55" i="22"/>
  <c r="N52" i="1"/>
  <c r="F12" i="2"/>
  <c r="L11" i="1"/>
  <c r="J54" i="22"/>
  <c r="J60" i="1"/>
  <c r="J54" i="23"/>
  <c r="C286" i="45" s="1"/>
  <c r="L54" i="23"/>
  <c r="D286" i="45" s="1"/>
  <c r="L54" i="22"/>
  <c r="L60" i="1"/>
  <c r="E12" i="2"/>
  <c r="J11" i="1"/>
  <c r="F83" i="26" l="1"/>
  <c r="F251" i="45"/>
  <c r="B79" i="26"/>
  <c r="B85" i="26" s="1"/>
  <c r="B97" i="26" s="1"/>
  <c r="D249" i="45"/>
  <c r="D79" i="26"/>
  <c r="D85" i="26" s="1"/>
  <c r="E249" i="45"/>
  <c r="E254" i="45" s="1"/>
  <c r="C65" i="26"/>
  <c r="C71" i="26" s="1"/>
  <c r="D147" i="45"/>
  <c r="E69" i="26"/>
  <c r="F150" i="45"/>
  <c r="B65" i="26"/>
  <c r="B71" i="26" s="1"/>
  <c r="C147" i="45"/>
  <c r="D65" i="26"/>
  <c r="D71" i="26" s="1"/>
  <c r="E147" i="45"/>
  <c r="N13" i="23"/>
  <c r="E216" i="45" s="1"/>
  <c r="N13" i="22"/>
  <c r="J13" i="23"/>
  <c r="C216" i="45" s="1"/>
  <c r="J13" i="22"/>
  <c r="L13" i="23"/>
  <c r="D216" i="45" s="1"/>
  <c r="M207" i="45" s="1"/>
  <c r="L13" i="22"/>
  <c r="N54" i="23"/>
  <c r="E286" i="45" s="1"/>
  <c r="N54" i="22"/>
  <c r="N60" i="1"/>
  <c r="L62" i="22"/>
  <c r="L62" i="23"/>
  <c r="D176" i="45" s="1"/>
  <c r="M180" i="45" s="1"/>
  <c r="J62" i="23"/>
  <c r="C176" i="45" s="1"/>
  <c r="J62" i="22"/>
  <c r="L4" i="1"/>
  <c r="J4" i="1"/>
  <c r="J6" i="23" s="1"/>
  <c r="N4" i="1"/>
  <c r="D254" i="45" l="1"/>
  <c r="M252" i="45"/>
  <c r="C84" i="26"/>
  <c r="C80" i="26"/>
  <c r="C81" i="26"/>
  <c r="C82" i="26"/>
  <c r="C83" i="26"/>
  <c r="C79" i="26"/>
  <c r="C278" i="45"/>
  <c r="C180" i="45"/>
  <c r="N6" i="23"/>
  <c r="E180" i="45" s="1"/>
  <c r="N6" i="22"/>
  <c r="D22" i="26" s="1"/>
  <c r="L6" i="23"/>
  <c r="D180" i="45" s="1"/>
  <c r="M176" i="45" s="1"/>
  <c r="L6" i="22"/>
  <c r="C22" i="26" s="1"/>
  <c r="C7" i="26"/>
  <c r="L48" i="1"/>
  <c r="E83" i="26"/>
  <c r="E82" i="26"/>
  <c r="D97" i="26"/>
  <c r="E84" i="26"/>
  <c r="E81" i="26"/>
  <c r="E80" i="26"/>
  <c r="N62" i="23"/>
  <c r="E176" i="45" s="1"/>
  <c r="N62" i="22"/>
  <c r="D7" i="26"/>
  <c r="N48" i="1"/>
  <c r="B7" i="26"/>
  <c r="J6" i="22"/>
  <c r="B22" i="26" s="1"/>
  <c r="J48" i="1"/>
  <c r="E79" i="26"/>
  <c r="B37" i="26" l="1"/>
  <c r="D278" i="45"/>
  <c r="D37" i="26"/>
  <c r="D94" i="26" s="1"/>
  <c r="E278" i="45"/>
  <c r="N50" i="23"/>
  <c r="E207" i="45" s="1"/>
  <c r="E218" i="45" s="1"/>
  <c r="N50" i="22"/>
  <c r="J50" i="23"/>
  <c r="C207" i="45" s="1"/>
  <c r="C218" i="45" s="1"/>
  <c r="J50" i="22"/>
  <c r="L50" i="23"/>
  <c r="D207" i="45" s="1"/>
  <c r="L50" i="22"/>
  <c r="C29" i="26" s="1"/>
  <c r="C30" i="26" s="1"/>
  <c r="L50" i="1"/>
  <c r="C14" i="26"/>
  <c r="C15" i="26" s="1"/>
  <c r="B94" i="26"/>
  <c r="J50" i="1"/>
  <c r="B14" i="26"/>
  <c r="B15" i="26" s="1"/>
  <c r="D14" i="26"/>
  <c r="D15" i="26" s="1"/>
  <c r="N50" i="1"/>
  <c r="D218" i="45" l="1"/>
  <c r="M216" i="45"/>
  <c r="D285" i="45"/>
  <c r="D287" i="45" s="1"/>
  <c r="D177" i="45"/>
  <c r="E285" i="45"/>
  <c r="E287" i="45" s="1"/>
  <c r="E177" i="45"/>
  <c r="E182" i="45" s="1"/>
  <c r="C285" i="45"/>
  <c r="C287" i="45" s="1"/>
  <c r="C177" i="45"/>
  <c r="C182" i="45" s="1"/>
  <c r="J52" i="23"/>
  <c r="J52" i="22"/>
  <c r="N52" i="23"/>
  <c r="N52" i="22"/>
  <c r="L52" i="23"/>
  <c r="L52" i="22"/>
  <c r="B29" i="26"/>
  <c r="B30" i="26" s="1"/>
  <c r="M26" i="1"/>
  <c r="M7" i="1"/>
  <c r="M12" i="1"/>
  <c r="M41" i="1"/>
  <c r="M54" i="1"/>
  <c r="M33" i="1"/>
  <c r="M58" i="1"/>
  <c r="M9" i="1"/>
  <c r="M52" i="1"/>
  <c r="M57" i="1"/>
  <c r="M22" i="1"/>
  <c r="M21" i="1"/>
  <c r="M19" i="1"/>
  <c r="M46" i="1"/>
  <c r="M32" i="1"/>
  <c r="M29" i="1"/>
  <c r="M56" i="1"/>
  <c r="M13" i="1"/>
  <c r="M17" i="1"/>
  <c r="M30" i="1"/>
  <c r="M6" i="1"/>
  <c r="M18" i="1"/>
  <c r="M11" i="1"/>
  <c r="M35" i="1"/>
  <c r="M8" i="1"/>
  <c r="M53" i="1"/>
  <c r="M23" i="1"/>
  <c r="M39" i="1"/>
  <c r="M34" i="1"/>
  <c r="M5" i="1"/>
  <c r="M15" i="1"/>
  <c r="M36" i="1"/>
  <c r="M37" i="1"/>
  <c r="M28" i="1"/>
  <c r="M44" i="1"/>
  <c r="M42" i="1"/>
  <c r="M14" i="1"/>
  <c r="M45" i="1"/>
  <c r="M25" i="1"/>
  <c r="M24" i="1"/>
  <c r="M38" i="1"/>
  <c r="M20" i="1"/>
  <c r="M16" i="1"/>
  <c r="M40" i="1"/>
  <c r="M27" i="1"/>
  <c r="M10" i="1"/>
  <c r="M43" i="1"/>
  <c r="M55" i="1"/>
  <c r="M31" i="1"/>
  <c r="M4" i="1"/>
  <c r="D29" i="26"/>
  <c r="D30" i="26" s="1"/>
  <c r="K24" i="1"/>
  <c r="K25" i="1"/>
  <c r="K58" i="1"/>
  <c r="K40" i="1"/>
  <c r="K52" i="1"/>
  <c r="K57" i="1"/>
  <c r="K44" i="1"/>
  <c r="K5" i="1"/>
  <c r="K31" i="1"/>
  <c r="K4" i="1"/>
  <c r="K56" i="1"/>
  <c r="K8" i="1"/>
  <c r="K36" i="1"/>
  <c r="K9" i="1"/>
  <c r="K37" i="1"/>
  <c r="K12" i="1"/>
  <c r="K33" i="1"/>
  <c r="K18" i="1"/>
  <c r="K17" i="1"/>
  <c r="K23" i="1"/>
  <c r="K16" i="1"/>
  <c r="K45" i="1"/>
  <c r="K39" i="1"/>
  <c r="K38" i="1"/>
  <c r="K13" i="1"/>
  <c r="K35" i="1"/>
  <c r="K26" i="1"/>
  <c r="K46" i="1"/>
  <c r="K7" i="1"/>
  <c r="K20" i="1"/>
  <c r="K42" i="1"/>
  <c r="K21" i="1"/>
  <c r="K41" i="1"/>
  <c r="K10" i="1"/>
  <c r="K14" i="1"/>
  <c r="K54" i="1"/>
  <c r="K11" i="1"/>
  <c r="K15" i="1"/>
  <c r="K28" i="1"/>
  <c r="K53" i="1"/>
  <c r="K19" i="1"/>
  <c r="K22" i="1"/>
  <c r="K43" i="1"/>
  <c r="K6" i="1"/>
  <c r="K32" i="1"/>
  <c r="K30" i="1"/>
  <c r="K55" i="1"/>
  <c r="K27" i="1"/>
  <c r="K29" i="1"/>
  <c r="K34" i="1"/>
  <c r="B44" i="26"/>
  <c r="D44" i="26"/>
  <c r="O9" i="1"/>
  <c r="O42" i="1"/>
  <c r="O25" i="1"/>
  <c r="O52" i="1"/>
  <c r="O14" i="1"/>
  <c r="O36" i="1"/>
  <c r="O24" i="1"/>
  <c r="O7" i="1"/>
  <c r="O58" i="1"/>
  <c r="O34" i="1"/>
  <c r="O27" i="1"/>
  <c r="O55" i="1"/>
  <c r="O44" i="1"/>
  <c r="O37" i="1"/>
  <c r="O19" i="1"/>
  <c r="O46" i="1"/>
  <c r="O17" i="1"/>
  <c r="O41" i="1"/>
  <c r="O8" i="1"/>
  <c r="O26" i="1"/>
  <c r="O13" i="1"/>
  <c r="O15" i="1"/>
  <c r="O39" i="1"/>
  <c r="O53" i="1"/>
  <c r="O11" i="1"/>
  <c r="O28" i="1"/>
  <c r="O33" i="1"/>
  <c r="O32" i="1"/>
  <c r="O56" i="1"/>
  <c r="O31" i="1"/>
  <c r="O16" i="1"/>
  <c r="O5" i="1"/>
  <c r="O30" i="1"/>
  <c r="O57" i="1"/>
  <c r="O23" i="1"/>
  <c r="O12" i="1"/>
  <c r="O6" i="1"/>
  <c r="O54" i="1"/>
  <c r="O21" i="1"/>
  <c r="O4" i="1"/>
  <c r="O10" i="1"/>
  <c r="O40" i="1"/>
  <c r="O18" i="1"/>
  <c r="O29" i="1"/>
  <c r="O20" i="1"/>
  <c r="O35" i="1"/>
  <c r="O22" i="1"/>
  <c r="O45" i="1"/>
  <c r="O38" i="1"/>
  <c r="O50" i="22"/>
  <c r="O43" i="1"/>
  <c r="D182" i="45" l="1"/>
  <c r="M179" i="45"/>
  <c r="O6" i="23"/>
  <c r="N64" i="23"/>
  <c r="K52" i="22"/>
  <c r="K28" i="22"/>
  <c r="K8" i="22"/>
  <c r="K29" i="22"/>
  <c r="K16" i="22"/>
  <c r="K12" i="22"/>
  <c r="K19" i="22"/>
  <c r="K47" i="22"/>
  <c r="K18" i="22"/>
  <c r="K25" i="22"/>
  <c r="K22" i="22"/>
  <c r="K10" i="22"/>
  <c r="K7" i="22"/>
  <c r="K9" i="22"/>
  <c r="K48" i="22"/>
  <c r="K24" i="22"/>
  <c r="K15" i="22"/>
  <c r="K33" i="22"/>
  <c r="K31" i="22"/>
  <c r="K32" i="22"/>
  <c r="K36" i="22"/>
  <c r="K37" i="22"/>
  <c r="K43" i="22"/>
  <c r="K46" i="22"/>
  <c r="K27" i="22"/>
  <c r="K40" i="22"/>
  <c r="K44" i="22"/>
  <c r="K38" i="22"/>
  <c r="K34" i="22"/>
  <c r="K11" i="22"/>
  <c r="K23" i="22"/>
  <c r="K45" i="22"/>
  <c r="K21" i="22"/>
  <c r="K17" i="22"/>
  <c r="K39" i="22"/>
  <c r="K35" i="22"/>
  <c r="K14" i="22"/>
  <c r="K42" i="22"/>
  <c r="K20" i="22"/>
  <c r="K49" i="22"/>
  <c r="K30" i="22"/>
  <c r="K41" i="22"/>
  <c r="K26" i="22"/>
  <c r="K13" i="22"/>
  <c r="K6" i="23"/>
  <c r="J64" i="23"/>
  <c r="M6" i="23"/>
  <c r="K50" i="22"/>
  <c r="O60" i="1"/>
  <c r="O17" i="23"/>
  <c r="O33" i="23"/>
  <c r="O41" i="23"/>
  <c r="O10" i="23"/>
  <c r="O11" i="23"/>
  <c r="O59" i="23"/>
  <c r="O44" i="23"/>
  <c r="O18" i="23"/>
  <c r="O60" i="23"/>
  <c r="O26" i="23"/>
  <c r="O7" i="23"/>
  <c r="O36" i="23"/>
  <c r="O28" i="23"/>
  <c r="O52" i="23"/>
  <c r="O15" i="23"/>
  <c r="O43" i="23"/>
  <c r="O19" i="23"/>
  <c r="O39" i="23"/>
  <c r="O24" i="23"/>
  <c r="O16" i="23"/>
  <c r="O23" i="23"/>
  <c r="O20" i="23"/>
  <c r="O32" i="23"/>
  <c r="O57" i="23"/>
  <c r="O55" i="23"/>
  <c r="O21" i="23"/>
  <c r="O42" i="23"/>
  <c r="O31" i="23"/>
  <c r="O13" i="23"/>
  <c r="O34" i="23"/>
  <c r="O14" i="23"/>
  <c r="O58" i="23"/>
  <c r="O35" i="23"/>
  <c r="O49" i="23"/>
  <c r="O8" i="23"/>
  <c r="O45" i="23"/>
  <c r="O56" i="23"/>
  <c r="O12" i="23"/>
  <c r="O22" i="23"/>
  <c r="O25" i="23"/>
  <c r="O54" i="23"/>
  <c r="O29" i="23"/>
  <c r="O46" i="23"/>
  <c r="O40" i="23"/>
  <c r="O9" i="23"/>
  <c r="O38" i="23"/>
  <c r="O48" i="23"/>
  <c r="O37" i="23"/>
  <c r="O47" i="23"/>
  <c r="O27" i="23"/>
  <c r="O30" i="23"/>
  <c r="K47" i="1"/>
  <c r="K50" i="1" s="1"/>
  <c r="K48" i="1"/>
  <c r="O43" i="22"/>
  <c r="O36" i="22"/>
  <c r="O23" i="22"/>
  <c r="O55" i="22"/>
  <c r="O8" i="22"/>
  <c r="O10" i="22"/>
  <c r="O7" i="22"/>
  <c r="O18" i="22"/>
  <c r="O21" i="22"/>
  <c r="O13" i="22"/>
  <c r="O56" i="22"/>
  <c r="O35" i="22"/>
  <c r="O57" i="22"/>
  <c r="O48" i="22"/>
  <c r="O6" i="22"/>
  <c r="O9" i="22"/>
  <c r="O47" i="22"/>
  <c r="O11" i="22"/>
  <c r="O34" i="22"/>
  <c r="O28" i="22"/>
  <c r="O16" i="22"/>
  <c r="O19" i="22"/>
  <c r="O24" i="22"/>
  <c r="O59" i="22"/>
  <c r="O41" i="22"/>
  <c r="O42" i="22"/>
  <c r="O45" i="22"/>
  <c r="O25" i="22"/>
  <c r="O32" i="22"/>
  <c r="O40" i="22"/>
  <c r="O44" i="22"/>
  <c r="O49" i="22"/>
  <c r="O14" i="22"/>
  <c r="O15" i="22"/>
  <c r="O39" i="22"/>
  <c r="O38" i="22"/>
  <c r="O60" i="22"/>
  <c r="O54" i="22"/>
  <c r="O31" i="22"/>
  <c r="O29" i="22"/>
  <c r="O30" i="22"/>
  <c r="O46" i="22"/>
  <c r="O33" i="22"/>
  <c r="O22" i="22"/>
  <c r="O27" i="22"/>
  <c r="O26" i="22"/>
  <c r="O17" i="22"/>
  <c r="O12" i="22"/>
  <c r="O58" i="22"/>
  <c r="O20" i="22"/>
  <c r="O37" i="22"/>
  <c r="O52" i="22"/>
  <c r="D96" i="26"/>
  <c r="D45" i="26"/>
  <c r="E44" i="26" s="1"/>
  <c r="M17" i="23"/>
  <c r="M28" i="23"/>
  <c r="M30" i="23"/>
  <c r="M19" i="23"/>
  <c r="M44" i="23"/>
  <c r="M33" i="23"/>
  <c r="M48" i="23"/>
  <c r="M55" i="23"/>
  <c r="M56" i="23"/>
  <c r="M20" i="23"/>
  <c r="M27" i="23"/>
  <c r="M57" i="23"/>
  <c r="M45" i="23"/>
  <c r="M38" i="23"/>
  <c r="M31" i="23"/>
  <c r="M8" i="23"/>
  <c r="M47" i="23"/>
  <c r="M42" i="23"/>
  <c r="M58" i="23"/>
  <c r="M36" i="23"/>
  <c r="M25" i="23"/>
  <c r="M40" i="23"/>
  <c r="M34" i="23"/>
  <c r="M29" i="23"/>
  <c r="M59" i="23"/>
  <c r="M22" i="23"/>
  <c r="M52" i="23"/>
  <c r="M60" i="23"/>
  <c r="M14" i="23"/>
  <c r="M18" i="23"/>
  <c r="M54" i="23"/>
  <c r="M32" i="23"/>
  <c r="M43" i="23"/>
  <c r="M9" i="23"/>
  <c r="M41" i="23"/>
  <c r="M26" i="23"/>
  <c r="M21" i="23"/>
  <c r="M10" i="23"/>
  <c r="M12" i="23"/>
  <c r="M35" i="23"/>
  <c r="M15" i="23"/>
  <c r="M24" i="23"/>
  <c r="M16" i="23"/>
  <c r="M23" i="23"/>
  <c r="M11" i="23"/>
  <c r="M37" i="23"/>
  <c r="M7" i="23"/>
  <c r="M39" i="23"/>
  <c r="M13" i="23"/>
  <c r="M49" i="23"/>
  <c r="M46" i="23"/>
  <c r="M50" i="23"/>
  <c r="B96" i="26"/>
  <c r="B45" i="26"/>
  <c r="C44" i="26" s="1"/>
  <c r="K54" i="22"/>
  <c r="K57" i="22"/>
  <c r="K56" i="22"/>
  <c r="K59" i="22"/>
  <c r="K60" i="22"/>
  <c r="K58" i="22"/>
  <c r="K6" i="22"/>
  <c r="K55" i="22"/>
  <c r="M60" i="1"/>
  <c r="O50" i="23"/>
  <c r="O48" i="1"/>
  <c r="O47" i="1"/>
  <c r="O50" i="1" s="1"/>
  <c r="K60" i="1"/>
  <c r="K9" i="23"/>
  <c r="K59" i="23"/>
  <c r="K57" i="23"/>
  <c r="K37" i="23"/>
  <c r="K43" i="23"/>
  <c r="K24" i="23"/>
  <c r="K25" i="23"/>
  <c r="K29" i="23"/>
  <c r="K18" i="23"/>
  <c r="K38" i="23"/>
  <c r="K20" i="23"/>
  <c r="K52" i="23"/>
  <c r="K19" i="23"/>
  <c r="K14" i="23"/>
  <c r="K42" i="23"/>
  <c r="K32" i="23"/>
  <c r="K31" i="23"/>
  <c r="K40" i="23"/>
  <c r="K7" i="23"/>
  <c r="K26" i="23"/>
  <c r="K45" i="23"/>
  <c r="K22" i="23"/>
  <c r="K35" i="23"/>
  <c r="K34" i="23"/>
  <c r="K27" i="23"/>
  <c r="K39" i="23"/>
  <c r="K28" i="23"/>
  <c r="K8" i="23"/>
  <c r="K48" i="23"/>
  <c r="K15" i="23"/>
  <c r="K54" i="23"/>
  <c r="K17" i="23"/>
  <c r="K21" i="23"/>
  <c r="K44" i="23"/>
  <c r="K16" i="23"/>
  <c r="K30" i="23"/>
  <c r="K23" i="23"/>
  <c r="K10" i="23"/>
  <c r="K56" i="23"/>
  <c r="K12" i="23"/>
  <c r="K46" i="23"/>
  <c r="K58" i="23"/>
  <c r="K11" i="23"/>
  <c r="K13" i="23"/>
  <c r="K47" i="23"/>
  <c r="K60" i="23"/>
  <c r="K36" i="23"/>
  <c r="K49" i="23"/>
  <c r="K41" i="23"/>
  <c r="K55" i="23"/>
  <c r="K33" i="23"/>
  <c r="M48" i="1"/>
  <c r="M47" i="1"/>
  <c r="M50" i="1" s="1"/>
  <c r="M50" i="22"/>
  <c r="M32" i="22"/>
  <c r="M58" i="22"/>
  <c r="M8" i="22"/>
  <c r="M44" i="22"/>
  <c r="M34" i="22"/>
  <c r="M15" i="22"/>
  <c r="M45" i="22"/>
  <c r="M39" i="22"/>
  <c r="M37" i="22"/>
  <c r="M48" i="22"/>
  <c r="M46" i="22"/>
  <c r="M21" i="22"/>
  <c r="M40" i="22"/>
  <c r="M16" i="22"/>
  <c r="M25" i="22"/>
  <c r="M11" i="22"/>
  <c r="M33" i="22"/>
  <c r="M12" i="22"/>
  <c r="M30" i="22"/>
  <c r="M57" i="22"/>
  <c r="M52" i="22"/>
  <c r="M47" i="22"/>
  <c r="M31" i="22"/>
  <c r="M28" i="22"/>
  <c r="M38" i="22"/>
  <c r="M9" i="22"/>
  <c r="M42" i="22"/>
  <c r="M60" i="22"/>
  <c r="M24" i="22"/>
  <c r="M55" i="22"/>
  <c r="M22" i="22"/>
  <c r="M23" i="22"/>
  <c r="M13" i="22"/>
  <c r="M10" i="22"/>
  <c r="M49" i="22"/>
  <c r="M7" i="22"/>
  <c r="M27" i="22"/>
  <c r="M20" i="22"/>
  <c r="M29" i="22"/>
  <c r="M41" i="22"/>
  <c r="M17" i="22"/>
  <c r="M59" i="22"/>
  <c r="M35" i="22"/>
  <c r="M54" i="22"/>
  <c r="M26" i="22"/>
  <c r="M19" i="22"/>
  <c r="M18" i="22"/>
  <c r="M43" i="22"/>
  <c r="M6" i="22"/>
  <c r="M36" i="22"/>
  <c r="M56" i="22"/>
  <c r="M14" i="22"/>
  <c r="K50" i="23"/>
  <c r="J65" i="22" l="1"/>
  <c r="J63" i="1"/>
  <c r="L63" i="1"/>
  <c r="L65" i="22"/>
  <c r="N63" i="1"/>
  <c r="N65" i="22"/>
  <c r="B98" i="26"/>
  <c r="D98" i="26"/>
  <c r="E96" i="26" s="1"/>
  <c r="M62" i="22"/>
  <c r="K62" i="22"/>
  <c r="M62" i="23"/>
  <c r="K62" i="23"/>
  <c r="O62" i="22"/>
  <c r="C42" i="26"/>
  <c r="C38" i="26"/>
  <c r="C43" i="26"/>
  <c r="C41" i="26"/>
  <c r="C37" i="26"/>
  <c r="C39" i="26"/>
  <c r="C40" i="26"/>
  <c r="E38" i="26"/>
  <c r="E40" i="26"/>
  <c r="E41" i="26"/>
  <c r="E39" i="26"/>
  <c r="E43" i="26"/>
  <c r="E42" i="26"/>
  <c r="E37" i="26"/>
  <c r="O62" i="23"/>
  <c r="C95" i="26" l="1"/>
  <c r="C93" i="26"/>
  <c r="C94" i="26"/>
  <c r="C92" i="26"/>
  <c r="C97" i="26"/>
  <c r="C96" i="26"/>
  <c r="E92" i="26"/>
  <c r="E95" i="26"/>
  <c r="E93" i="26"/>
  <c r="E97" i="26"/>
  <c r="E94" i="26"/>
  <c r="F7" i="36"/>
  <c r="F12" i="36" s="1"/>
  <c r="F45" i="36"/>
  <c r="P15" i="23"/>
  <c r="P15" i="22"/>
  <c r="P12" i="1"/>
  <c r="P14" i="22" l="1"/>
  <c r="P14" i="23"/>
  <c r="E8" i="26"/>
  <c r="F279" i="45" l="1"/>
  <c r="S26" i="23"/>
  <c r="T26" i="23" s="1"/>
  <c r="F213" i="45"/>
  <c r="E23" i="26"/>
  <c r="F38" i="26"/>
  <c r="F93" i="26" l="1"/>
  <c r="E25" i="26"/>
  <c r="E10" i="26" l="1"/>
  <c r="H4" i="7"/>
  <c r="H7" i="7" s="1"/>
  <c r="P39" i="1" s="1"/>
  <c r="H4" i="11" s="1"/>
  <c r="P53" i="1" s="1"/>
  <c r="F281" i="45" l="1"/>
  <c r="F179" i="45"/>
  <c r="F40" i="26"/>
  <c r="P52" i="1"/>
  <c r="P55" i="22"/>
  <c r="F147" i="45" s="1"/>
  <c r="P55" i="23"/>
  <c r="F249" i="45" s="1"/>
  <c r="E52" i="26"/>
  <c r="E58" i="26" s="1"/>
  <c r="P41" i="22"/>
  <c r="I68" i="2"/>
  <c r="I71" i="2" s="1"/>
  <c r="H10" i="2" s="1"/>
  <c r="P11" i="1" s="1"/>
  <c r="P4" i="1" s="1"/>
  <c r="P41" i="23"/>
  <c r="F208" i="45" s="1"/>
  <c r="E12" i="26"/>
  <c r="F254" i="45" l="1"/>
  <c r="F178" i="45"/>
  <c r="F283" i="45"/>
  <c r="E27" i="26"/>
  <c r="E65" i="26"/>
  <c r="E71" i="26" s="1"/>
  <c r="F42" i="26"/>
  <c r="F92" i="26" s="1"/>
  <c r="P54" i="22"/>
  <c r="P60" i="1"/>
  <c r="P54" i="23"/>
  <c r="F286" i="45" s="1"/>
  <c r="H12" i="2"/>
  <c r="F79" i="26"/>
  <c r="M254" i="45" l="1"/>
  <c r="N252" i="45" s="1"/>
  <c r="P13" i="22"/>
  <c r="P13" i="23"/>
  <c r="F216" i="45" s="1"/>
  <c r="F85" i="26"/>
  <c r="G79" i="26" s="1"/>
  <c r="P62" i="22"/>
  <c r="P62" i="23"/>
  <c r="F176" i="45" s="1"/>
  <c r="N251" i="45" l="1"/>
  <c r="N249" i="45"/>
  <c r="N253" i="45"/>
  <c r="N250" i="45"/>
  <c r="N248" i="45"/>
  <c r="P6" i="22"/>
  <c r="E7" i="26"/>
  <c r="P6" i="23"/>
  <c r="P48" i="1"/>
  <c r="G80" i="26"/>
  <c r="G82" i="26"/>
  <c r="G84" i="26"/>
  <c r="G83" i="26"/>
  <c r="G81" i="26"/>
  <c r="F97" i="26"/>
  <c r="N254" i="45" l="1"/>
  <c r="F278" i="45"/>
  <c r="F180" i="45"/>
  <c r="P50" i="1"/>
  <c r="E14" i="26"/>
  <c r="E15" i="26" s="1"/>
  <c r="P50" i="22"/>
  <c r="P50" i="23"/>
  <c r="F207" i="45" s="1"/>
  <c r="E22" i="26"/>
  <c r="F37" i="26"/>
  <c r="F218" i="45" l="1"/>
  <c r="G207" i="45" s="1"/>
  <c r="F285" i="45"/>
  <c r="F287" i="45" s="1"/>
  <c r="F177" i="45"/>
  <c r="E29" i="26"/>
  <c r="E30" i="26" s="1"/>
  <c r="Q32" i="1"/>
  <c r="Q25" i="1"/>
  <c r="Q44" i="1"/>
  <c r="Q29" i="1"/>
  <c r="Q9" i="1"/>
  <c r="Q17" i="1"/>
  <c r="Q7" i="1"/>
  <c r="Q38" i="1"/>
  <c r="Q45" i="1"/>
  <c r="Q21" i="1"/>
  <c r="Q5" i="1"/>
  <c r="Q56" i="1"/>
  <c r="Q58" i="1"/>
  <c r="Q30" i="1"/>
  <c r="Q57" i="1"/>
  <c r="Q13" i="1"/>
  <c r="Q6" i="1"/>
  <c r="Q34" i="1"/>
  <c r="Q14" i="1"/>
  <c r="Q20" i="1"/>
  <c r="Q26" i="1"/>
  <c r="Q54" i="1"/>
  <c r="Q40" i="1"/>
  <c r="Q36" i="1"/>
  <c r="Q19" i="1"/>
  <c r="Q8" i="1"/>
  <c r="Q16" i="1"/>
  <c r="Q46" i="1"/>
  <c r="Q43" i="1"/>
  <c r="Q31" i="1"/>
  <c r="Q18" i="1"/>
  <c r="Q22" i="1"/>
  <c r="Q37" i="1"/>
  <c r="Q33" i="1"/>
  <c r="Q35" i="1"/>
  <c r="Q42" i="1"/>
  <c r="Q28" i="1"/>
  <c r="Q10" i="1"/>
  <c r="Q12" i="1"/>
  <c r="Q41" i="1"/>
  <c r="P52" i="22"/>
  <c r="P52" i="23"/>
  <c r="Q50" i="23" s="1"/>
  <c r="Q27" i="1"/>
  <c r="Q55" i="1"/>
  <c r="Q15" i="1"/>
  <c r="Q23" i="1"/>
  <c r="Q24" i="1"/>
  <c r="Q53" i="1"/>
  <c r="Q39" i="1"/>
  <c r="Q52" i="1"/>
  <c r="Q11" i="1"/>
  <c r="Q4" i="1"/>
  <c r="F94" i="26"/>
  <c r="F44" i="26"/>
  <c r="F182" i="45" l="1"/>
  <c r="G209" i="45"/>
  <c r="G215" i="45"/>
  <c r="G211" i="45"/>
  <c r="G213" i="45"/>
  <c r="G212" i="45"/>
  <c r="G214" i="45"/>
  <c r="G210" i="45"/>
  <c r="G208" i="45"/>
  <c r="G216" i="45"/>
  <c r="M217" i="45"/>
  <c r="N207" i="45" s="1"/>
  <c r="F96" i="26"/>
  <c r="F98" i="26" s="1"/>
  <c r="Q9" i="22"/>
  <c r="Q48" i="22"/>
  <c r="Q36" i="22"/>
  <c r="Q40" i="22"/>
  <c r="Q34" i="22"/>
  <c r="Q59" i="22"/>
  <c r="Q10" i="22"/>
  <c r="Q39" i="22"/>
  <c r="Q35" i="22"/>
  <c r="Q27" i="22"/>
  <c r="Q52" i="22"/>
  <c r="Q33" i="22"/>
  <c r="Q11" i="22"/>
  <c r="Q37" i="22"/>
  <c r="Q8" i="22"/>
  <c r="Q56" i="22"/>
  <c r="Q23" i="22"/>
  <c r="Q12" i="22"/>
  <c r="Q60" i="22"/>
  <c r="Q20" i="22"/>
  <c r="Q28" i="22"/>
  <c r="Q18" i="22"/>
  <c r="Q44" i="22"/>
  <c r="Q7" i="22"/>
  <c r="Q17" i="22"/>
  <c r="Q24" i="22"/>
  <c r="Q30" i="22"/>
  <c r="Q42" i="22"/>
  <c r="Q16" i="22"/>
  <c r="Q38" i="22"/>
  <c r="Q58" i="22"/>
  <c r="Q49" i="22"/>
  <c r="Q21" i="22"/>
  <c r="Q57" i="22"/>
  <c r="Q22" i="22"/>
  <c r="Q43" i="22"/>
  <c r="Q14" i="22"/>
  <c r="Q19" i="22"/>
  <c r="Q47" i="22"/>
  <c r="Q31" i="22"/>
  <c r="Q29" i="22"/>
  <c r="Q15" i="22"/>
  <c r="Q45" i="22"/>
  <c r="Q25" i="22"/>
  <c r="Q32" i="22"/>
  <c r="Q46" i="22"/>
  <c r="Q26" i="22"/>
  <c r="Q55" i="22"/>
  <c r="Q41" i="22"/>
  <c r="Q54" i="22"/>
  <c r="Q13" i="22"/>
  <c r="Q6" i="22"/>
  <c r="Q60" i="1"/>
  <c r="Q44" i="23"/>
  <c r="Q11" i="23"/>
  <c r="Q7" i="23"/>
  <c r="Q21" i="23"/>
  <c r="Q15" i="23"/>
  <c r="Q38" i="23"/>
  <c r="Q58" i="23"/>
  <c r="Q59" i="23"/>
  <c r="Q57" i="23"/>
  <c r="Q48" i="23"/>
  <c r="Q10" i="23"/>
  <c r="Q28" i="23"/>
  <c r="Q9" i="23"/>
  <c r="Q31" i="23"/>
  <c r="Q36" i="23"/>
  <c r="Q42" i="23"/>
  <c r="Q32" i="23"/>
  <c r="Q22" i="23"/>
  <c r="Q18" i="23"/>
  <c r="Q35" i="23"/>
  <c r="Q24" i="23"/>
  <c r="Q16" i="23"/>
  <c r="Q47" i="23"/>
  <c r="Q17" i="23"/>
  <c r="Q45" i="23"/>
  <c r="Q30" i="23"/>
  <c r="Q40" i="23"/>
  <c r="Q33" i="23"/>
  <c r="Q49" i="23"/>
  <c r="Q25" i="23"/>
  <c r="Q56" i="23"/>
  <c r="Q60" i="23"/>
  <c r="Q43" i="23"/>
  <c r="Q20" i="23"/>
  <c r="Q12" i="23"/>
  <c r="Q37" i="23"/>
  <c r="Q27" i="23"/>
  <c r="Q14" i="23"/>
  <c r="Q23" i="23"/>
  <c r="Q46" i="23"/>
  <c r="Q29" i="23"/>
  <c r="Q34" i="23"/>
  <c r="Q39" i="23"/>
  <c r="Q8" i="23"/>
  <c r="Q52" i="23"/>
  <c r="Q19" i="23"/>
  <c r="Q26" i="23"/>
  <c r="Q41" i="23"/>
  <c r="Q55" i="23"/>
  <c r="Q54" i="23"/>
  <c r="P64" i="23"/>
  <c r="P65" i="22" s="1"/>
  <c r="Q13" i="23"/>
  <c r="Q6" i="23"/>
  <c r="F45" i="26"/>
  <c r="Q48" i="1"/>
  <c r="Q47" i="1"/>
  <c r="Q50" i="1" s="1"/>
  <c r="Q50" i="22"/>
  <c r="M181" i="45" l="1"/>
  <c r="N212" i="45"/>
  <c r="N213" i="45"/>
  <c r="N208" i="45"/>
  <c r="N210" i="45"/>
  <c r="N211" i="45"/>
  <c r="N209" i="45"/>
  <c r="N214" i="45"/>
  <c r="N215" i="45"/>
  <c r="N216" i="45"/>
  <c r="P63" i="1"/>
  <c r="G93" i="26"/>
  <c r="G95" i="26"/>
  <c r="G92" i="26"/>
  <c r="G97" i="26"/>
  <c r="G38" i="26"/>
  <c r="G39" i="26"/>
  <c r="G43" i="26"/>
  <c r="G41" i="26"/>
  <c r="G40" i="26"/>
  <c r="G42" i="26"/>
  <c r="G37" i="26"/>
  <c r="G94" i="26"/>
  <c r="Q62" i="23"/>
  <c r="Q62" i="22"/>
  <c r="G96" i="26"/>
  <c r="G44" i="26"/>
  <c r="N217" i="45" l="1"/>
  <c r="N178" i="45"/>
  <c r="N177" i="45"/>
  <c r="N180" i="45"/>
  <c r="N176" i="45"/>
  <c r="N179" i="45"/>
  <c r="N181" i="45" l="1"/>
</calcChain>
</file>

<file path=xl/sharedStrings.xml><?xml version="1.0" encoding="utf-8"?>
<sst xmlns="http://schemas.openxmlformats.org/spreadsheetml/2006/main" count="2660" uniqueCount="893">
  <si>
    <t>Capex</t>
  </si>
  <si>
    <t>Permitting and Environmental Compliance</t>
  </si>
  <si>
    <t>1.1.1</t>
  </si>
  <si>
    <t>Siting &amp; Scoping</t>
  </si>
  <si>
    <t>1.1.2</t>
  </si>
  <si>
    <t>Pre-Installation Studies</t>
  </si>
  <si>
    <t>1.1.3</t>
  </si>
  <si>
    <t>Post-Installation Studies</t>
  </si>
  <si>
    <t>NEPA &amp; Process</t>
  </si>
  <si>
    <t>1.2.1</t>
  </si>
  <si>
    <t>Infrastructure</t>
  </si>
  <si>
    <t>1.2.2</t>
  </si>
  <si>
    <t>Subsea Cables</t>
  </si>
  <si>
    <t>1.2.3</t>
  </si>
  <si>
    <t>Dockside Improvements</t>
  </si>
  <si>
    <t>1.2.4</t>
  </si>
  <si>
    <t>1.2.5</t>
  </si>
  <si>
    <t>Other</t>
  </si>
  <si>
    <t>Mooring/Foundation</t>
  </si>
  <si>
    <t>1.3.1</t>
  </si>
  <si>
    <t>Mooring lines/chain</t>
  </si>
  <si>
    <t>1.3.2</t>
  </si>
  <si>
    <t>Anchors</t>
  </si>
  <si>
    <t>1.3.3</t>
  </si>
  <si>
    <t>1.3.4</t>
  </si>
  <si>
    <t>Connecting Hardware (shackles etc.)</t>
  </si>
  <si>
    <t>1.3.5</t>
  </si>
  <si>
    <t>Device Structural Components</t>
  </si>
  <si>
    <t>1.4.1</t>
  </si>
  <si>
    <t>1.4.2</t>
  </si>
  <si>
    <t>1.4.3</t>
  </si>
  <si>
    <t>1.4.4</t>
  </si>
  <si>
    <t>Power Take Off</t>
  </si>
  <si>
    <t>1.5.1</t>
  </si>
  <si>
    <t>Generator</t>
  </si>
  <si>
    <t>1.5.2</t>
  </si>
  <si>
    <t>1.5.3</t>
  </si>
  <si>
    <t>1.5.4</t>
  </si>
  <si>
    <t>Hydraulic System</t>
  </si>
  <si>
    <t>Frequency Converter</t>
  </si>
  <si>
    <t>1.5.5</t>
  </si>
  <si>
    <t>Step-up Transformer</t>
  </si>
  <si>
    <t>1.5.6</t>
  </si>
  <si>
    <t>Riser Cable</t>
  </si>
  <si>
    <t>1.5.7</t>
  </si>
  <si>
    <t>Electrical Energy Storage</t>
  </si>
  <si>
    <t>1.5.8</t>
  </si>
  <si>
    <t>Installation</t>
  </si>
  <si>
    <t>Transport to Staging Site</t>
  </si>
  <si>
    <t>Cable Shore Landing</t>
  </si>
  <si>
    <t>Device Installation</t>
  </si>
  <si>
    <t>Device Comissioning</t>
  </si>
  <si>
    <t>Insurance</t>
  </si>
  <si>
    <t>Environmental Monitoring and Regulatory Compliance</t>
  </si>
  <si>
    <t>Marine Operations</t>
  </si>
  <si>
    <t>Shoreside Operations</t>
  </si>
  <si>
    <t>Replacement Parts</t>
  </si>
  <si>
    <t>Consumables</t>
  </si>
  <si>
    <t>Annualized OPEX</t>
  </si>
  <si>
    <t>Dedicated O&amp;M Vessel</t>
  </si>
  <si>
    <t>Seals</t>
  </si>
  <si>
    <t>1.5.9</t>
  </si>
  <si>
    <t xml:space="preserve">Control System </t>
  </si>
  <si>
    <t>Device Access (Railings, Ladders, etc)</t>
  </si>
  <si>
    <t>Bearings and Linear Guides</t>
  </si>
  <si>
    <t>Assembly, Testing &amp; QA</t>
  </si>
  <si>
    <t>Units</t>
  </si>
  <si>
    <t>1.5.10</t>
  </si>
  <si>
    <t>1.5.11</t>
  </si>
  <si>
    <t>1.5.12</t>
  </si>
  <si>
    <t>1.5.13</t>
  </si>
  <si>
    <t>Mooring/Foundation System</t>
  </si>
  <si>
    <t>Subsystem Integration &amp; Profit Margin</t>
  </si>
  <si>
    <t>1.7.1</t>
  </si>
  <si>
    <t>1.7.2</t>
  </si>
  <si>
    <t>1.7.3</t>
  </si>
  <si>
    <t>1.7.4</t>
  </si>
  <si>
    <t>1.7.5</t>
  </si>
  <si>
    <t>1.7.6</t>
  </si>
  <si>
    <t>Cost</t>
  </si>
  <si>
    <t>Total Cost</t>
  </si>
  <si>
    <t>Total</t>
  </si>
  <si>
    <t>Assumptions</t>
  </si>
  <si>
    <t>Component</t>
  </si>
  <si>
    <t>Sum</t>
  </si>
  <si>
    <t>1-Unit</t>
  </si>
  <si>
    <t>Subsystem Integration and Profit margins are difficult to estimate given the level of design of the reference model.  For consistency and to make it simple, this was assumed to be 10% of the machine cost.  This is probably low for single unit production scale</t>
  </si>
  <si>
    <t xml:space="preserve">However, because the primary focus of the RM effort is in identifying cost reduction pathways it was decided to apply this assumption, rather then an assumption as a function of deployment scale.  </t>
  </si>
  <si>
    <t>10 Units</t>
  </si>
  <si>
    <t>50 Units</t>
  </si>
  <si>
    <t>100 Units</t>
  </si>
  <si>
    <t>Transport Cost to Staging Site</t>
  </si>
  <si>
    <t>1 - Unit</t>
  </si>
  <si>
    <t>10 - Units</t>
  </si>
  <si>
    <t>100 - Units</t>
  </si>
  <si>
    <t>50 - Units</t>
  </si>
  <si>
    <t>Note: Typical in offshore one-off projects</t>
  </si>
  <si>
    <t>Note: Typical in Onshore Wind, assuming high technical maturity</t>
  </si>
  <si>
    <t>1 Unit</t>
  </si>
  <si>
    <t>Totals</t>
  </si>
  <si>
    <t>Development</t>
  </si>
  <si>
    <t>1.1.1.1</t>
  </si>
  <si>
    <t>1.1.1.2</t>
  </si>
  <si>
    <t>1.1.1.3</t>
  </si>
  <si>
    <t>1.1.1.4</t>
  </si>
  <si>
    <t>Site Assessment</t>
  </si>
  <si>
    <t>Design &amp; Engineering</t>
  </si>
  <si>
    <t>10-Units</t>
  </si>
  <si>
    <t>100-Units</t>
  </si>
  <si>
    <t>50-Units</t>
  </si>
  <si>
    <t>Cost Summary</t>
  </si>
  <si>
    <t>Weight (tonnes)</t>
  </si>
  <si>
    <t>Profit</t>
  </si>
  <si>
    <t>Mass</t>
  </si>
  <si>
    <t>Category</t>
  </si>
  <si>
    <t>Prog Ratio</t>
  </si>
  <si>
    <t>Cost per unit</t>
  </si>
  <si>
    <t>Siting and Scoping</t>
  </si>
  <si>
    <t>Environmental Scoping</t>
  </si>
  <si>
    <t>Community Outreach</t>
  </si>
  <si>
    <t>Regulatory Outreach</t>
  </si>
  <si>
    <t>Fish and Invertebrates</t>
  </si>
  <si>
    <t>Habitat</t>
  </si>
  <si>
    <t>Cultural Resources</t>
  </si>
  <si>
    <t>Navigation</t>
  </si>
  <si>
    <t>Recreation</t>
  </si>
  <si>
    <t>Post-Install Capital</t>
  </si>
  <si>
    <t>NEPA Document Preparation</t>
  </si>
  <si>
    <t>Monitoring and Study Plans</t>
  </si>
  <si>
    <t>NEPA and Process</t>
  </si>
  <si>
    <t xml:space="preserve">Material </t>
  </si>
  <si>
    <t>Labor</t>
  </si>
  <si>
    <t>Material</t>
  </si>
  <si>
    <t>m</t>
  </si>
  <si>
    <t>1.2.3 Dockside Improvements</t>
  </si>
  <si>
    <t>1.2.4 Dedicated O&amp;M Vessel</t>
  </si>
  <si>
    <t>1.3.1 Mooring Lines / Chain</t>
  </si>
  <si>
    <t>1.3.2 Anchors</t>
  </si>
  <si>
    <t>% of Structural</t>
  </si>
  <si>
    <t>PTO mounting</t>
  </si>
  <si>
    <t>kW</t>
  </si>
  <si>
    <t>Mass (kg)</t>
  </si>
  <si>
    <t># Units</t>
  </si>
  <si>
    <t>Contingency</t>
  </si>
  <si>
    <t>Design and Engineering</t>
  </si>
  <si>
    <t>Decommissioning</t>
  </si>
  <si>
    <t>in%</t>
  </si>
  <si>
    <t>in %</t>
  </si>
  <si>
    <t>% of total assumpton</t>
  </si>
  <si>
    <t>Cost Estimating Notes</t>
  </si>
  <si>
    <t>Terminations and Connectors</t>
  </si>
  <si>
    <t>1.2.2 Terminations and Connectors</t>
  </si>
  <si>
    <t>Structural Cost Total from 1-3</t>
  </si>
  <si>
    <t>tonnes</t>
  </si>
  <si>
    <t>Non-Reccuring</t>
  </si>
  <si>
    <t>Non-Recurring</t>
  </si>
  <si>
    <t>Non-recurring</t>
  </si>
  <si>
    <t>1.6 Subsystem Integration and Profit Margin</t>
  </si>
  <si>
    <t>10% of Machine Cost</t>
  </si>
  <si>
    <t>Transmission Efficiency</t>
  </si>
  <si>
    <t>Annual Output</t>
  </si>
  <si>
    <t>Project Design, Engineering, and Management</t>
  </si>
  <si>
    <t>1.8 Decomissioning</t>
  </si>
  <si>
    <t>1.9 Contingency</t>
  </si>
  <si>
    <t>occurs at the end of the 20-year project life, having a minimal impact on the cost of electricty from this plant.  Decomissioning costs are not represented in the CoE assessment.</t>
  </si>
  <si>
    <t>MACRS Depreciation</t>
  </si>
  <si>
    <t>Energy Extraction</t>
  </si>
  <si>
    <t>Average Extracted Power</t>
  </si>
  <si>
    <t>Average Electric Power</t>
  </si>
  <si>
    <t>Rated Electric Power</t>
  </si>
  <si>
    <t xml:space="preserve">Machine Capacity Factor </t>
  </si>
  <si>
    <t>Array Parameters</t>
  </si>
  <si>
    <t># of US homes equivalent</t>
  </si>
  <si>
    <t>Array/Turbine Availability</t>
  </si>
  <si>
    <t>MWh/year</t>
  </si>
  <si>
    <t>Year 1</t>
  </si>
  <si>
    <t>Year 2</t>
  </si>
  <si>
    <t>Year 3</t>
  </si>
  <si>
    <t>Year 4</t>
  </si>
  <si>
    <t>Year 5</t>
  </si>
  <si>
    <t>Year 6</t>
  </si>
  <si>
    <t>Fixed Charge Rate</t>
  </si>
  <si>
    <t>Total Annual OPEX</t>
  </si>
  <si>
    <t>Plant Rated Capacity (kW)</t>
  </si>
  <si>
    <t>MWh/Year</t>
  </si>
  <si>
    <t xml:space="preserve">10% is used because that is what offshore wind has been using.    </t>
  </si>
  <si>
    <t>$/tonne</t>
  </si>
  <si>
    <t>Unknown</t>
  </si>
  <si>
    <t>10-100 Units</t>
  </si>
  <si>
    <t>Note: Inputs shown in green</t>
  </si>
  <si>
    <t>Cost Basis in $'s</t>
  </si>
  <si>
    <t>Capex and Opex Table Rounding</t>
  </si>
  <si>
    <t># of digits to zero</t>
  </si>
  <si>
    <t>$ / kW</t>
  </si>
  <si>
    <t>cents/kWh</t>
  </si>
  <si>
    <t>%</t>
  </si>
  <si>
    <t>$ / kW-yr</t>
  </si>
  <si>
    <t>Environmental Monitoring &amp; Regulatory Compliance</t>
  </si>
  <si>
    <t>Total Cost / yr</t>
  </si>
  <si>
    <t>Device</t>
  </si>
  <si>
    <t>Operation and Maintenance</t>
  </si>
  <si>
    <t>Opex</t>
  </si>
  <si>
    <t>Capex &amp; Opex</t>
  </si>
  <si>
    <t># of Units</t>
  </si>
  <si>
    <t>Installed Capacity (kW)</t>
  </si>
  <si>
    <t>Installed Capacity (MW)</t>
  </si>
  <si>
    <t>Mean Velocity</t>
  </si>
  <si>
    <t>Peak Velocity</t>
  </si>
  <si>
    <t>Avg Power Flux</t>
  </si>
  <si>
    <t>LCoE</t>
  </si>
  <si>
    <t>Sensitvity Graphs</t>
  </si>
  <si>
    <t>Value</t>
  </si>
  <si>
    <t>RESULTS</t>
  </si>
  <si>
    <t>Data Sources</t>
  </si>
  <si>
    <t>PNNL - Detailed in Separate Document</t>
  </si>
  <si>
    <t>RE Vision Estimate from similar experience</t>
  </si>
  <si>
    <t>Cost Estimating Notes:</t>
  </si>
  <si>
    <t>RE Vision Assumption</t>
  </si>
  <si>
    <t>Decomissioning costs are assumed to be the same as the installation costs, because similar operational procedures will be used to remove the plant hardware as for the installation process.  The key difference is that decomissioning</t>
  </si>
  <si>
    <t xml:space="preserve">Contingency captures unknown unknowns.  Given the conceptual level of design, it is likely that quite a few items are not well understood and hence costs are under-predicted.   </t>
  </si>
  <si>
    <t xml:space="preserve">Insurance cost is a direct function of the perceived risk of a project.  Offshore Oil &amp; Gas project are typically on the order of 2% of CAPEX.  These are one-off construction projects with a relatively high risk profile (oil-spill potential etc.). </t>
  </si>
  <si>
    <t xml:space="preserve"> On the other end of the spectrum is land-based wind that is technologically mature with typical insurance rates on the order of 0.5%.  The assumption is that for 1 and 10-unit deployment scales technology is relatively immature</t>
  </si>
  <si>
    <t xml:space="preserve">It is also assumed that no investor will take the risk of building a 100-unit farm unless technology risks are perceived as being really small. </t>
  </si>
  <si>
    <t>RE Vision Estimate based on related project experience</t>
  </si>
  <si>
    <t>50-100 Units</t>
  </si>
  <si>
    <t>Cost Estimating Notes for Commercial Scale (100-Units)</t>
  </si>
  <si>
    <t>Cost Estimating Notes - Single Unit Scale</t>
  </si>
  <si>
    <t>Incremental Cost for Farm Deployments</t>
  </si>
  <si>
    <t>Annualized Cost Breakdown</t>
  </si>
  <si>
    <t>Single Unit in Mass Production</t>
  </si>
  <si>
    <t>Survey</t>
  </si>
  <si>
    <t>In reality, a figure closer to 30% is probably more realistic at single unit scale.</t>
  </si>
  <si>
    <t>base case</t>
  </si>
  <si>
    <t>Cable Installation</t>
  </si>
  <si>
    <t>Mooring Installation</t>
  </si>
  <si>
    <t>Cable Landing</t>
  </si>
  <si>
    <t>Seabed Survey &amp; Mapping</t>
  </si>
  <si>
    <t>Marine Mammals</t>
  </si>
  <si>
    <t>Seabirds</t>
  </si>
  <si>
    <t>Turtles</t>
  </si>
  <si>
    <t>Water Quality</t>
  </si>
  <si>
    <t>Marine Mammals and Turtles</t>
  </si>
  <si>
    <t>Fish</t>
  </si>
  <si>
    <t>Benthos</t>
  </si>
  <si>
    <t>Acoustic Characterization Monitoring</t>
  </si>
  <si>
    <t xml:space="preserve">Resource Assessment </t>
  </si>
  <si>
    <t>Detailed Resource Assessment - Hydrodynamic modeling</t>
  </si>
  <si>
    <t>Ecosystem Effects Seabird</t>
  </si>
  <si>
    <t>Ecosystem Effects Marine Mammals &amp; Turtles</t>
  </si>
  <si>
    <t>Ecosystem Effects Fish</t>
  </si>
  <si>
    <t>1.2.1 Subsea Cables</t>
  </si>
  <si>
    <t>Surface Float</t>
  </si>
  <si>
    <t>Vertical Column</t>
  </si>
  <si>
    <t>Reaction Plate</t>
  </si>
  <si>
    <t>Power Conversion System Parameters</t>
  </si>
  <si>
    <t>Rated Power</t>
  </si>
  <si>
    <t>Determining Trunk-cable length, shore to first junction box</t>
  </si>
  <si>
    <t>Site Distance to shore</t>
  </si>
  <si>
    <t>Capacity</t>
  </si>
  <si>
    <t>Unit Capacity (kW)</t>
  </si>
  <si>
    <t>#</t>
  </si>
  <si>
    <t>Plant Capacity (MW)</t>
  </si>
  <si>
    <t>Target Cable Capacity incl. 20% contingency (MW)</t>
  </si>
  <si>
    <t>Contingency Cable Length incl. 20% Contingency (m)</t>
  </si>
  <si>
    <t>Array Cable</t>
  </si>
  <si>
    <t xml:space="preserve">Per Device Cable Length </t>
  </si>
  <si>
    <t>Total Cable Length</t>
  </si>
  <si>
    <t>Subsea Cable Cost</t>
  </si>
  <si>
    <t>Trunck Cable</t>
  </si>
  <si>
    <t>Inter-Device Cable Length</t>
  </si>
  <si>
    <t>Trunk Cable Cost ($/m)</t>
  </si>
  <si>
    <t>Inter-Device Cable</t>
  </si>
  <si>
    <t>10% of Subsea Cable Cost</t>
  </si>
  <si>
    <t>None</t>
  </si>
  <si>
    <t>Rough Estimates were used for subsea cable cost</t>
  </si>
  <si>
    <t>Wire Rope to Sub-Sea Buoys</t>
  </si>
  <si>
    <t>Sub-Sea Buoys (55kN net buoyancy)</t>
  </si>
  <si>
    <t>Nylon Line 5.75"</t>
  </si>
  <si>
    <t>Chain 3.5 inch, 90 foot shot</t>
  </si>
  <si>
    <t>Anchor Joining Link</t>
  </si>
  <si>
    <t>Chain joining link</t>
  </si>
  <si>
    <t>Sinker (10-tonnes)</t>
  </si>
  <si>
    <t>Shackles</t>
  </si>
  <si>
    <t>Anchor - Bruce Mk-4, 9-tonne</t>
  </si>
  <si>
    <t>Based on Preliminary Mooring Design</t>
  </si>
  <si>
    <t>RE Vision</t>
  </si>
  <si>
    <t>Single Unit Cost Breakdown for 100-kW baseline</t>
  </si>
  <si>
    <t>Hydraulic Cylinder</t>
  </si>
  <si>
    <t>Relieve Valves</t>
  </si>
  <si>
    <t>Pressure Sensor</t>
  </si>
  <si>
    <t>Valve Subplate</t>
  </si>
  <si>
    <t>Accumulator</t>
  </si>
  <si>
    <t>HP Filter</t>
  </si>
  <si>
    <t>Return Filter</t>
  </si>
  <si>
    <t>Fixed Displacement Motor</t>
  </si>
  <si>
    <t>Reservoir</t>
  </si>
  <si>
    <t>Plumbing</t>
  </si>
  <si>
    <t>Fluid</t>
  </si>
  <si>
    <t>Misc</t>
  </si>
  <si>
    <t>Machine/Pipe Foundations</t>
  </si>
  <si>
    <t>Solenoid Valves</t>
  </si>
  <si>
    <t>Pressure Sensors</t>
  </si>
  <si>
    <t>Assembly &amp; Testing</t>
  </si>
  <si>
    <t>Check Valves</t>
  </si>
  <si>
    <t>100 Unit Cost Breakdown for 100kW baseline</t>
  </si>
  <si>
    <t>Hydraulic Energy Storage</t>
  </si>
  <si>
    <t>Hydraulic Components (all)</t>
  </si>
  <si>
    <t>Cost - 100kW</t>
  </si>
  <si>
    <t>Linear Guide</t>
  </si>
  <si>
    <t>Cost - 286kW</t>
  </si>
  <si>
    <t>Subsea Cable</t>
  </si>
  <si>
    <t>Mooring Components</t>
  </si>
  <si>
    <t>Notes:</t>
  </si>
  <si>
    <t xml:space="preserve"> - Cost from previous projects in the Pacific Northwest</t>
  </si>
  <si>
    <t xml:space="preserve"> - Drilling Distance: 500m</t>
  </si>
  <si>
    <t xml:space="preserve"> - 1 Unit would require an 8" conduit</t>
  </si>
  <si>
    <t xml:space="preserve"> - 10 Units would require 10" Conduit</t>
  </si>
  <si>
    <t xml:space="preserve"> - Jettable Material &lt; 7,500 psi </t>
  </si>
  <si>
    <t>Total HDD Activities</t>
  </si>
  <si>
    <t xml:space="preserve"> - 100 Units would require 2 x 10" conduit</t>
  </si>
  <si>
    <r>
      <t xml:space="preserve"> - </t>
    </r>
    <r>
      <rPr>
        <sz val="11"/>
        <rFont val="Calibri"/>
        <family val="2"/>
        <scheme val="minor"/>
      </rPr>
      <t>Deck space = 5100 ft^2 =&gt; 2-3 moorings can be loaded</t>
    </r>
  </si>
  <si>
    <t xml:space="preserve"> - 50 Units would require 1 x 10" conduit</t>
  </si>
  <si>
    <t xml:space="preserve">  - Mooring Installation Vessel M/V Mystique or similar</t>
  </si>
  <si>
    <t xml:space="preserve"> - Fuel at $3.5/gallon</t>
  </si>
  <si>
    <t>Mob/Demob of Vessel</t>
  </si>
  <si>
    <t xml:space="preserve">Dockside Support </t>
  </si>
  <si>
    <t>At Dock Loading</t>
  </si>
  <si>
    <t>Transit to Site and back</t>
  </si>
  <si>
    <t>On-Site Working</t>
  </si>
  <si>
    <t>Day-rate</t>
  </si>
  <si>
    <t># Days</t>
  </si>
  <si>
    <t xml:space="preserve"> - Cable Installation Vessel</t>
  </si>
  <si>
    <t xml:space="preserve"> - Support Vessel</t>
  </si>
  <si>
    <t xml:space="preserve"> -Cable Installation and Burial Tools</t>
  </si>
  <si>
    <t>Dayrates:</t>
  </si>
  <si>
    <t>At Dock Mob/Demob</t>
  </si>
  <si>
    <t>Loading Cable</t>
  </si>
  <si>
    <t>Transit</t>
  </si>
  <si>
    <t>Standby</t>
  </si>
  <si>
    <t>Cable Lay Ops</t>
  </si>
  <si>
    <t>Installation Process</t>
  </si>
  <si>
    <t>Mob/Demob CIV</t>
  </si>
  <si>
    <t>Load Cable</t>
  </si>
  <si>
    <t>Transit to Site</t>
  </si>
  <si>
    <t>Install Cable &amp; Surface Lay</t>
  </si>
  <si>
    <t>Cable Burial and S/E</t>
  </si>
  <si>
    <t>Transit to/from Home Port</t>
  </si>
  <si>
    <t>1 0-Unit</t>
  </si>
  <si>
    <t>50 Unit</t>
  </si>
  <si>
    <t>100 Unit</t>
  </si>
  <si>
    <t>Transit (5000 miles)</t>
  </si>
  <si>
    <t xml:space="preserve"> - Installation continously until complete</t>
  </si>
  <si>
    <t xml:space="preserve"> - 2 tugs (800-1500 HP)</t>
  </si>
  <si>
    <t xml:space="preserve"> - Crew Boat</t>
  </si>
  <si>
    <t xml:space="preserve"> - Shoreside support</t>
  </si>
  <si>
    <t xml:space="preserve"> - Workboat (the same as used for O&amp;M)</t>
  </si>
  <si>
    <t>Process</t>
  </si>
  <si>
    <t xml:space="preserve">Mob/Demob </t>
  </si>
  <si>
    <t>1 device per day</t>
  </si>
  <si>
    <t>10  Unit</t>
  </si>
  <si>
    <t xml:space="preserve">Notes: </t>
  </si>
  <si>
    <t xml:space="preserve"> - Same setup as Device Installation</t>
  </si>
  <si>
    <t>Percentage Rate</t>
  </si>
  <si>
    <t>Buoyancy</t>
  </si>
  <si>
    <t>1.1 Development</t>
  </si>
  <si>
    <t>1.2 Infrastructure</t>
  </si>
  <si>
    <t>1.3 Mooring/Foundation</t>
  </si>
  <si>
    <t>1.4 Device Structural Components</t>
  </si>
  <si>
    <t>1.5 Power Take Off</t>
  </si>
  <si>
    <t>1.7 Installation</t>
  </si>
  <si>
    <t>2.1 Insurance</t>
  </si>
  <si>
    <t>2.2 Environmental Monitoring and Regulatory Compliance</t>
  </si>
  <si>
    <t>2.3 Marine Operations</t>
  </si>
  <si>
    <t>2.4 Shoreside Operations</t>
  </si>
  <si>
    <t>2.5 Replacement Parts</t>
  </si>
  <si>
    <t>2.6 Consumables</t>
  </si>
  <si>
    <t>Vessel</t>
  </si>
  <si>
    <t>Per Diem</t>
  </si>
  <si>
    <t>Salary ($/year)</t>
  </si>
  <si>
    <t>Burden</t>
  </si>
  <si>
    <t># of Staff</t>
  </si>
  <si>
    <t>Staffing Costs ($/Year)</t>
  </si>
  <si>
    <t>Average</t>
  </si>
  <si>
    <t>Wage ($/hr)</t>
  </si>
  <si>
    <t>(%)</t>
  </si>
  <si>
    <t>years 1-5</t>
  </si>
  <si>
    <t>6-10</t>
  </si>
  <si>
    <t>11-15</t>
  </si>
  <si>
    <t>16-20</t>
  </si>
  <si>
    <t>Site Manager Salary</t>
  </si>
  <si>
    <t>Admin. Asst. Salary</t>
  </si>
  <si>
    <t>Sr. Tech Wage</t>
  </si>
  <si>
    <t>Jr. Tech Wage</t>
  </si>
  <si>
    <t>Additional Cost</t>
  </si>
  <si>
    <t>Dockside Rental</t>
  </si>
  <si>
    <t xml:space="preserve">Facilities Lease </t>
  </si>
  <si>
    <t xml:space="preserve"> - Ship Conversion including: (1) DP-1, Crane, Whinch, Delivery etc. </t>
  </si>
  <si>
    <t xml:space="preserve"> - Using new vessel, values come in between $4.09M and $5.65M</t>
  </si>
  <si>
    <t xml:space="preserve"> - Using used vessel, values are estimated between $2.09M and $3.1M</t>
  </si>
  <si>
    <t>$/day</t>
  </si>
  <si>
    <t>Boat (incl. 4 person crew)</t>
  </si>
  <si>
    <t>Additional Crew</t>
  </si>
  <si>
    <t>Crew Boat</t>
  </si>
  <si>
    <t>Fuel and Consumables</t>
  </si>
  <si>
    <t>Vessel of Opportunity - 12-hour dayrates for Devicve Retrieval, Mooring Repair and Cable Repair</t>
  </si>
  <si>
    <t>Vessel of Opportunity - 12-hour dayrates for Device Access and PTO Swap-out</t>
  </si>
  <si>
    <t>Permanent Crew Dayrate</t>
  </si>
  <si>
    <t>Number of Crew</t>
  </si>
  <si>
    <t>Average Hourly Rate</t>
  </si>
  <si>
    <t>Hours/Day</t>
  </si>
  <si>
    <t>Total Crew-day cost</t>
  </si>
  <si>
    <t>Inspect Mooring System using ROV</t>
  </si>
  <si>
    <t>Unscheduled Structural/Mooring/Riser Cable</t>
  </si>
  <si>
    <t>Device Recovery for shore-side overhaul</t>
  </si>
  <si>
    <t># of ops-days/year</t>
  </si>
  <si>
    <t>$/year</t>
  </si>
  <si>
    <t>$/kW-year</t>
  </si>
  <si>
    <t># of Ops days/year</t>
  </si>
  <si>
    <t># of Interventions per device-year Requiring Device Recovery</t>
  </si>
  <si>
    <t># of Interventions per device-year requiring PTO retrieval</t>
  </si>
  <si>
    <t>Unscheduled PTO repairs</t>
  </si>
  <si>
    <t>Total Marine Ops Cost</t>
  </si>
  <si>
    <t># Failures / Year</t>
  </si>
  <si>
    <t>Relief Valve</t>
  </si>
  <si>
    <t xml:space="preserve">Overhead </t>
  </si>
  <si>
    <t>Electrical Systems</t>
  </si>
  <si>
    <t>External Systems</t>
  </si>
  <si>
    <t>Moorings</t>
  </si>
  <si>
    <t>$/Unit</t>
  </si>
  <si>
    <t>L50</t>
  </si>
  <si>
    <t>$/Year</t>
  </si>
  <si>
    <t># Failures/Year</t>
  </si>
  <si>
    <t>Failure Rates for 100kW Reference Powertrain</t>
  </si>
  <si>
    <t xml:space="preserve"> - No design available for linear guides, estimated cost at 20% of PTO cost</t>
  </si>
  <si>
    <t>Linear Guides</t>
  </si>
  <si>
    <t>No redundancy</t>
  </si>
  <si>
    <t>Scaled Powertrain at Device Rated Capacity</t>
  </si>
  <si>
    <t>Scaled Powertrain at Device Rated Capacity in Mass Production (100-Unit Scale)</t>
  </si>
  <si>
    <t>Cost Progress Ratio</t>
  </si>
  <si>
    <t>Cost at Different Unit Scales</t>
  </si>
  <si>
    <t>Staffing Levels / Cost</t>
  </si>
  <si>
    <t>Consumables include</t>
  </si>
  <si>
    <t>$/year-device</t>
  </si>
  <si>
    <t>Inter-Device Cable Cost (included in 1.5)</t>
  </si>
  <si>
    <t>Control System</t>
  </si>
  <si>
    <t>Installed Cost</t>
  </si>
  <si>
    <t>RE Vision Estimate</t>
  </si>
  <si>
    <t>Actual cost breakdowns are provided in separate report by PNNL (average values carried forward to this spreadsheet)</t>
  </si>
  <si>
    <t xml:space="preserve"> - Bathimtric and Geophysical Survey</t>
  </si>
  <si>
    <t xml:space="preserve"> - Small site survey with dimensions of 3.5km x 1km one trunck cable corridor</t>
  </si>
  <si>
    <t xml:space="preserve"> - Large site survey with dimensions of 16.5km x 1km with trunck cable survey</t>
  </si>
  <si>
    <t xml:space="preserve"> - Includes: bathimetry, sub-bottom profiling, Magnetometer, Grab Samples, Underwater Video</t>
  </si>
  <si>
    <t>Design &amp; Engineering is taken as a percentage of total hard cost of the device</t>
  </si>
  <si>
    <t>Terminations and Connectors are difficult to estimate without a detailed design effort. Estimated them as 10% of Cable cost</t>
  </si>
  <si>
    <t>See notes above</t>
  </si>
  <si>
    <t>1.3.4 Connecting Hardware</t>
  </si>
  <si>
    <t>1.3.3 Buoyancy</t>
  </si>
  <si>
    <t>Total Installed Cost (omits Decommissioning)</t>
  </si>
  <si>
    <t>Structural Design Details can be found in the main report, all costs are shown on a per unit basis, total costs are calculated in the summary</t>
  </si>
  <si>
    <t xml:space="preserve">Concept design did not allow to refine all design details.  Used 2% of structural cost to account for ssmaller items such as device access, connecting elements etc. </t>
  </si>
  <si>
    <t>Mass - 100kW</t>
  </si>
  <si>
    <t>Mass - 286kW</t>
  </si>
  <si>
    <t xml:space="preserve">RE Vision Estimate </t>
  </si>
  <si>
    <t>RE Vision 100 KW Wave Power Hydraulic System Study</t>
  </si>
  <si>
    <t>Data Sources - Single Unit Scale</t>
  </si>
  <si>
    <t>- Costs have been estimated from a 100kW system design and scaled using the rated capacity of the RM3 device</t>
  </si>
  <si>
    <t>Data Sources - Commercial Scale (100-Units)</t>
  </si>
  <si>
    <t>Machine Cost</t>
  </si>
  <si>
    <t>RE Vision cost assessment</t>
  </si>
  <si>
    <t>See notes above in cost details</t>
  </si>
  <si>
    <t>RE Vision Esitmate</t>
  </si>
  <si>
    <t>RE Vision Estimae</t>
  </si>
  <si>
    <t xml:space="preserve">Cost of shore-side ops is estimated based on Windpact O&amp;M cost model provided by NREL (O&amp;M Cost Estimator_revA_22Jun2006.xls). Below are the assumptions on labor and consumables. It is assumed that the labor associated with repair are similar to wind. </t>
  </si>
  <si>
    <t>WindPACT study from NREL operation and matinence model</t>
  </si>
  <si>
    <t>Not estimated, but included in project contingency</t>
  </si>
  <si>
    <t xml:space="preserve">Mooring L50 life considers that a mooring repair results only in partial replacement </t>
  </si>
  <si>
    <t>From 1 to 10</t>
  </si>
  <si>
    <t xml:space="preserve">From 10 to 50 </t>
  </si>
  <si>
    <t>From 50 to 100</t>
  </si>
  <si>
    <t>Learning Rate: LR = 1 - PR</t>
  </si>
  <si>
    <t>a = cost to produce 1st unit</t>
  </si>
  <si>
    <t>PROGRESS RATIO (PR)</t>
  </si>
  <si>
    <t>COST REDUCTION TRENDS</t>
  </si>
  <si>
    <t>PROGRESS RATIO</t>
  </si>
  <si>
    <t>x = cumulative production up to &amp; including xth unit</t>
  </si>
  <si>
    <t>m = learning parameter (measure of rate of cost reductions as cumulative production increases)</t>
  </si>
  <si>
    <r>
      <rPr>
        <sz val="11"/>
        <color theme="1"/>
        <rFont val="Calibri"/>
        <family val="2"/>
        <scheme val="minor"/>
      </rPr>
      <t>C</t>
    </r>
    <r>
      <rPr>
        <vertAlign val="subscript"/>
        <sz val="11"/>
        <color theme="1"/>
        <rFont val="Calibri"/>
        <family val="2"/>
        <scheme val="minor"/>
      </rPr>
      <t>x</t>
    </r>
    <r>
      <rPr>
        <sz val="11"/>
        <color theme="1"/>
        <rFont val="Calibri"/>
        <family val="2"/>
        <scheme val="minor"/>
      </rPr>
      <t xml:space="preserve"> = cost to produce xth unit</t>
    </r>
  </si>
  <si>
    <r>
      <t>PR = 2</t>
    </r>
    <r>
      <rPr>
        <b/>
        <vertAlign val="superscript"/>
        <sz val="11"/>
        <color theme="1"/>
        <rFont val="Calibri"/>
        <family val="2"/>
        <scheme val="minor"/>
      </rPr>
      <t>m</t>
    </r>
  </si>
  <si>
    <r>
      <t>PR = C</t>
    </r>
    <r>
      <rPr>
        <b/>
        <vertAlign val="subscript"/>
        <sz val="11"/>
        <color theme="1"/>
        <rFont val="Calibri"/>
        <family val="2"/>
        <scheme val="minor"/>
      </rPr>
      <t>x2</t>
    </r>
    <r>
      <rPr>
        <b/>
        <sz val="11"/>
        <color theme="1"/>
        <rFont val="Calibri"/>
        <family val="2"/>
        <scheme val="minor"/>
      </rPr>
      <t>/C</t>
    </r>
    <r>
      <rPr>
        <b/>
        <vertAlign val="subscript"/>
        <sz val="11"/>
        <color theme="1"/>
        <rFont val="Calibri"/>
        <family val="2"/>
        <scheme val="minor"/>
      </rPr>
      <t>x1</t>
    </r>
    <r>
      <rPr>
        <b/>
        <sz val="11"/>
        <color theme="1"/>
        <rFont val="Calibri"/>
        <family val="2"/>
        <scheme val="minor"/>
      </rPr>
      <t>, for x</t>
    </r>
    <r>
      <rPr>
        <b/>
        <vertAlign val="subscript"/>
        <sz val="11"/>
        <color theme="1"/>
        <rFont val="Calibri"/>
        <family val="2"/>
        <scheme val="minor"/>
      </rPr>
      <t>2</t>
    </r>
    <r>
      <rPr>
        <b/>
        <sz val="11"/>
        <color theme="1"/>
        <rFont val="Calibri"/>
        <family val="2"/>
        <scheme val="minor"/>
      </rPr>
      <t xml:space="preserve"> = 2</t>
    </r>
    <r>
      <rPr>
        <b/>
        <vertAlign val="subscript"/>
        <sz val="11"/>
        <color theme="1"/>
        <rFont val="Calibri"/>
        <family val="2"/>
        <scheme val="minor"/>
      </rPr>
      <t>x1</t>
    </r>
  </si>
  <si>
    <r>
      <t>PR = C</t>
    </r>
    <r>
      <rPr>
        <b/>
        <vertAlign val="subscript"/>
        <sz val="11"/>
        <color theme="1"/>
        <rFont val="Calibri"/>
        <family val="2"/>
        <scheme val="minor"/>
      </rPr>
      <t>x2</t>
    </r>
    <r>
      <rPr>
        <b/>
        <sz val="11"/>
        <color theme="1"/>
        <rFont val="Calibri"/>
        <family val="2"/>
        <scheme val="minor"/>
      </rPr>
      <t>/C</t>
    </r>
    <r>
      <rPr>
        <b/>
        <vertAlign val="subscript"/>
        <sz val="11"/>
        <color theme="1"/>
        <rFont val="Calibri"/>
        <family val="2"/>
        <scheme val="minor"/>
      </rPr>
      <t>x1</t>
    </r>
    <r>
      <rPr>
        <b/>
        <sz val="11"/>
        <color theme="1"/>
        <rFont val="Calibri"/>
        <family val="2"/>
        <scheme val="minor"/>
      </rPr>
      <t xml:space="preserve"> </t>
    </r>
  </si>
  <si>
    <r>
      <t>for x</t>
    </r>
    <r>
      <rPr>
        <b/>
        <vertAlign val="subscript"/>
        <sz val="11"/>
        <color theme="1"/>
        <rFont val="Calibri"/>
        <family val="2"/>
        <scheme val="minor"/>
      </rPr>
      <t>2</t>
    </r>
    <r>
      <rPr>
        <b/>
        <sz val="11"/>
        <color theme="1"/>
        <rFont val="Calibri"/>
        <family val="2"/>
        <scheme val="minor"/>
      </rPr>
      <t xml:space="preserve"> = 2</t>
    </r>
    <r>
      <rPr>
        <b/>
        <vertAlign val="subscript"/>
        <sz val="11"/>
        <color theme="1"/>
        <rFont val="Calibri"/>
        <family val="2"/>
        <scheme val="minor"/>
      </rPr>
      <t>x1</t>
    </r>
  </si>
  <si>
    <r>
      <t>PR = ax</t>
    </r>
    <r>
      <rPr>
        <b/>
        <vertAlign val="subscript"/>
        <sz val="11"/>
        <color theme="1"/>
        <rFont val="Calibri"/>
        <family val="2"/>
        <scheme val="minor"/>
      </rPr>
      <t>2</t>
    </r>
    <r>
      <rPr>
        <b/>
        <vertAlign val="superscript"/>
        <sz val="11"/>
        <color theme="1"/>
        <rFont val="Calibri"/>
        <family val="2"/>
        <scheme val="minor"/>
      </rPr>
      <t>m</t>
    </r>
    <r>
      <rPr>
        <b/>
        <sz val="11"/>
        <color theme="1"/>
        <rFont val="Calibri"/>
        <family val="2"/>
        <scheme val="minor"/>
      </rPr>
      <t>/ax</t>
    </r>
    <r>
      <rPr>
        <b/>
        <vertAlign val="subscript"/>
        <sz val="11"/>
        <color theme="1"/>
        <rFont val="Calibri"/>
        <family val="2"/>
        <scheme val="minor"/>
      </rPr>
      <t>1</t>
    </r>
    <r>
      <rPr>
        <b/>
        <vertAlign val="superscript"/>
        <sz val="11"/>
        <color theme="1"/>
        <rFont val="Calibri"/>
        <family val="2"/>
        <scheme val="minor"/>
      </rPr>
      <t>m</t>
    </r>
    <r>
      <rPr>
        <b/>
        <sz val="11"/>
        <color theme="1"/>
        <rFont val="Calibri"/>
        <family val="2"/>
        <scheme val="minor"/>
      </rPr>
      <t xml:space="preserve"> </t>
    </r>
  </si>
  <si>
    <t>m = (log(Cx) -log(a))/log(x)</t>
  </si>
  <si>
    <t>Learning Rate</t>
  </si>
  <si>
    <t>LR = 1-PR</t>
  </si>
  <si>
    <t>Power Conversion Chain</t>
  </si>
  <si>
    <t>Cost Breakdown Structure for RM6 Based off of RM3 Layout</t>
  </si>
  <si>
    <t>L [m]</t>
  </si>
  <si>
    <t>$/m [1]</t>
  </si>
  <si>
    <t>$/m [10]</t>
  </si>
  <si>
    <t>$/m [50]</t>
  </si>
  <si>
    <t>$/m [100]</t>
  </si>
  <si>
    <t>Nylon</t>
  </si>
  <si>
    <t>Chain</t>
  </si>
  <si>
    <t>Anchor - Aft Anchor Stevpris Mk6, 1-tonne</t>
  </si>
  <si>
    <t>We need Poly with MBL of 5754 kN, 5.75" Nylon has MBL of 3680 kN. Unless quote comes in use ReVision $/m estimate x factor of 1.56 (5754/3680)</t>
  </si>
  <si>
    <t>Nylon x 1.56</t>
  </si>
  <si>
    <t>-</t>
  </si>
  <si>
    <t>Poly Line MBL 5754 kN (three 45m Lines per device)</t>
  </si>
  <si>
    <t>** Based on Email from Eric Sherman (4/11/2012) this is nearly double. Eric's rule of thumb was $/kg with weight being d^2*.02 for studless</t>
  </si>
  <si>
    <t>** Assumes $4.5/kg estimate for qty 1 with 10% reduction on 10-100 qty ($4.05/kg)</t>
  </si>
  <si>
    <t>Chain R4 58mm Studless (2 @ 765m, 1 @ 155m)</t>
  </si>
  <si>
    <t>kg/m</t>
  </si>
  <si>
    <t>58mm mass</t>
  </si>
  <si>
    <t>Total L</t>
  </si>
  <si>
    <t>58mm Chain ($~4/kg)</t>
  </si>
  <si>
    <t>Stern Float</t>
  </si>
  <si>
    <t>Bow Float</t>
  </si>
  <si>
    <t>Girders and Structural Supports</t>
  </si>
  <si>
    <t>1.4.4.1</t>
  </si>
  <si>
    <t>G02</t>
  </si>
  <si>
    <t>G03</t>
  </si>
  <si>
    <t>G04</t>
  </si>
  <si>
    <t>G05</t>
  </si>
  <si>
    <t>G06</t>
  </si>
  <si>
    <t>G07</t>
  </si>
  <si>
    <t>G08</t>
  </si>
  <si>
    <t>G09</t>
  </si>
  <si>
    <t>G11</t>
  </si>
  <si>
    <t>G12</t>
  </si>
  <si>
    <t>Part Number</t>
  </si>
  <si>
    <t>Length [m]</t>
  </si>
  <si>
    <t>G10*</t>
  </si>
  <si>
    <t>*G10 has 33.66 degree miter cuts on each end (length is longest end)</t>
  </si>
  <si>
    <t>mass [kg]</t>
  </si>
  <si>
    <t>qty</t>
  </si>
  <si>
    <t>T-Girder Masses</t>
  </si>
  <si>
    <t>total part mass [kg]</t>
  </si>
  <si>
    <t>1.4.4.2</t>
  </si>
  <si>
    <t>L-Supports</t>
  </si>
  <si>
    <t>S01</t>
  </si>
  <si>
    <t>S02</t>
  </si>
  <si>
    <t>S03</t>
  </si>
  <si>
    <t>S04</t>
  </si>
  <si>
    <t>S05</t>
  </si>
  <si>
    <t>S06</t>
  </si>
  <si>
    <t>S07</t>
  </si>
  <si>
    <t>S08</t>
  </si>
  <si>
    <t>S09</t>
  </si>
  <si>
    <t>blk01</t>
  </si>
  <si>
    <t>Vent Extrusions</t>
  </si>
  <si>
    <t>*Vent Extrusions only affect S06 supports</t>
  </si>
  <si>
    <t>total length [m]</t>
  </si>
  <si>
    <t>T Girders (2,822 linear meters)</t>
  </si>
  <si>
    <t>L supports (8,920 linear meters)</t>
  </si>
  <si>
    <t>1.4.4.3</t>
  </si>
  <si>
    <t>Center duct supports (blk01.sldprt)</t>
  </si>
  <si>
    <t>Total Girder and Support Mass</t>
  </si>
  <si>
    <t>Backward Bent Duct Main Structure</t>
  </si>
  <si>
    <t xml:space="preserve">Total </t>
  </si>
  <si>
    <t>Material [$/tonne]</t>
  </si>
  <si>
    <t>Profit (10% of Material,Labor,Non-Recurring)</t>
  </si>
  <si>
    <t>$/kg estimates (Average of RM3 estimates by ReVision)</t>
  </si>
  <si>
    <t>ReVision $/tonne estimates (Float, Column, Reaction Plate)</t>
  </si>
  <si>
    <t>total Length [m]</t>
  </si>
  <si>
    <t>mass [tonne]</t>
  </si>
  <si>
    <t>1.3.1 (Poly)</t>
  </si>
  <si>
    <t>RE Vision mass estimate with scaling factor</t>
  </si>
  <si>
    <t>1.3.1 (Chain)</t>
  </si>
  <si>
    <t>$/kg estimate from Vicinay (2011)</t>
  </si>
  <si>
    <r>
      <t>Stevpris Quote (at time of quote 1</t>
    </r>
    <r>
      <rPr>
        <sz val="11"/>
        <color theme="1"/>
        <rFont val="Calibri"/>
        <family val="2"/>
      </rPr>
      <t>€</t>
    </r>
    <r>
      <rPr>
        <sz val="9.9"/>
        <color theme="1"/>
        <rFont val="Calibri"/>
        <family val="2"/>
      </rPr>
      <t xml:space="preserve"> = 1.372 USD)</t>
    </r>
  </si>
  <si>
    <t xml:space="preserve">1 tonne </t>
  </si>
  <si>
    <t>USD</t>
  </si>
  <si>
    <t>5 tonne (x2)</t>
  </si>
  <si>
    <t>Acoustic Baseline Modeling</t>
  </si>
  <si>
    <t>Acoustic Effects on Human Uses</t>
  </si>
  <si>
    <t>Sum (per year)</t>
  </si>
  <si>
    <t>Per year for 2-3 years then lower cost per year later on</t>
  </si>
  <si>
    <t>Per year for 3-5 years then lower cost per year later on. Costs may increase periodically (typically every 5 years)</t>
  </si>
  <si>
    <t>Total (Assuming 30 years)</t>
  </si>
  <si>
    <t>Appendix A:Commercial Post-Installation Studes (PNNL RM6 Report)</t>
  </si>
  <si>
    <t>10-100 Unit 30yr pricing notes</t>
  </si>
  <si>
    <t>Estimate from Survey Company from RM3</t>
  </si>
  <si>
    <t>Estimate using RE Vision values</t>
  </si>
  <si>
    <t>Rotor hub thrust plate</t>
  </si>
  <si>
    <t>Short rotor shaft body</t>
  </si>
  <si>
    <t xml:space="preserve">Short rotor shaft shoulder </t>
  </si>
  <si>
    <t>Long rotor shaft body</t>
  </si>
  <si>
    <t>Long Rotor shaft shoulder</t>
  </si>
  <si>
    <t>Nose at ends (elliptical) --one motor end one rotor end</t>
  </si>
  <si>
    <t xml:space="preserve">Basic Steel Fabrication Estimates for Turbine Assembly--Mike Beam ARL : August 28 2013 </t>
  </si>
  <si>
    <t xml:space="preserve">Part Name </t>
  </si>
  <si>
    <t xml:space="preserve">OD </t>
  </si>
  <si>
    <t xml:space="preserve">ID </t>
  </si>
  <si>
    <t>area</t>
  </si>
  <si>
    <t xml:space="preserve">J </t>
  </si>
  <si>
    <t xml:space="preserve">Length/thickness </t>
  </si>
  <si>
    <t xml:space="preserve">CADD Volume </t>
  </si>
  <si>
    <t>density</t>
  </si>
  <si>
    <t>Weighter per part</t>
  </si>
  <si>
    <t xml:space="preserve">Quantity of item </t>
  </si>
  <si>
    <t>Total Weight</t>
  </si>
  <si>
    <t>Comment</t>
  </si>
  <si>
    <t>Cost per pound</t>
  </si>
  <si>
    <t xml:space="preserve">Total cost </t>
  </si>
  <si>
    <t xml:space="preserve">Added Estimating Notes </t>
  </si>
  <si>
    <t xml:space="preserve">inches </t>
  </si>
  <si>
    <t>inches</t>
  </si>
  <si>
    <t>in^2</t>
  </si>
  <si>
    <t>inches^4</t>
  </si>
  <si>
    <t>in**3</t>
  </si>
  <si>
    <t>#/inch**3</t>
  </si>
  <si>
    <t xml:space="preserve"># </t>
  </si>
  <si>
    <t>from Ref model 4 &amp; 7</t>
  </si>
  <si>
    <t>Turbine Outer pipe rib</t>
  </si>
  <si>
    <t>Engineering Experience From Past Project Estimates</t>
  </si>
  <si>
    <t xml:space="preserve">Turbine Pipe </t>
  </si>
  <si>
    <t xml:space="preserve">stator hub wall left &amp; right stator hub </t>
  </si>
  <si>
    <t xml:space="preserve">Price per pound from LSV PC4 pricing exercise early 2013 </t>
  </si>
  <si>
    <t xml:space="preserve">stator hub ring left &amp; right stator hub </t>
  </si>
  <si>
    <t xml:space="preserve">stator hub bearing support </t>
  </si>
  <si>
    <t xml:space="preserve">Rotor hub outer wall </t>
  </si>
  <si>
    <t xml:space="preserve">Rotor Hub rib </t>
  </si>
  <si>
    <t xml:space="preserve">Blade blank area </t>
  </si>
  <si>
    <t>Bearing &amp; shaft housing main body &amp; seal housing</t>
  </si>
  <si>
    <t xml:space="preserve">two beaing assemblies </t>
  </si>
  <si>
    <t xml:space="preserve">Bearing &amp; seal house flange (large OD end) </t>
  </si>
  <si>
    <t xml:space="preserve">Motor/generator housing--cylinderical body </t>
  </si>
  <si>
    <t xml:space="preserve">Motor/generator Housing rotor end wall </t>
  </si>
  <si>
    <t xml:space="preserve">Linear bearing rails (tubes)  for moving the assembly </t>
  </si>
  <si>
    <t xml:space="preserve">Assume steel tubing </t>
  </si>
  <si>
    <t xml:space="preserve">Bell mouth at ocean side inlet/exit </t>
  </si>
  <si>
    <t>Finished weight from GES CADD model</t>
  </si>
  <si>
    <t>Total Weight this sheet</t>
  </si>
  <si>
    <t>Total this sheet</t>
  </si>
  <si>
    <t>Weight [kg]</t>
  </si>
  <si>
    <t>Total Cost [$ USD]</t>
  </si>
  <si>
    <t>Total Weight [kg]</t>
  </si>
  <si>
    <t>Qty</t>
  </si>
  <si>
    <t>cost per kg [$/kg]</t>
  </si>
  <si>
    <t>Part Type</t>
  </si>
  <si>
    <t>Fabricated Circular Parts</t>
  </si>
  <si>
    <t>Fabricated Circular Part</t>
  </si>
  <si>
    <t>kg</t>
  </si>
  <si>
    <t>USD/kg</t>
  </si>
  <si>
    <t>1.5.1.1</t>
  </si>
  <si>
    <t>1.5.1.2</t>
  </si>
  <si>
    <t>1.5.1.3</t>
  </si>
  <si>
    <t>1.5.1.4</t>
  </si>
  <si>
    <t>1.5.1.5</t>
  </si>
  <si>
    <t>1.5.1.6</t>
  </si>
  <si>
    <t>1.5.1.7</t>
  </si>
  <si>
    <t>1.5.1.8</t>
  </si>
  <si>
    <t>1.5.1.9</t>
  </si>
  <si>
    <t>1.5.1.10</t>
  </si>
  <si>
    <t>1.5.1.11</t>
  </si>
  <si>
    <t>1.5.1.12</t>
  </si>
  <si>
    <t>1.5.1.13</t>
  </si>
  <si>
    <t>1.5.1.14</t>
  </si>
  <si>
    <t>1.5.1.15</t>
  </si>
  <si>
    <t>1.5.1.16</t>
  </si>
  <si>
    <t>1.5.1.17</t>
  </si>
  <si>
    <t>1.5.1.18</t>
  </si>
  <si>
    <t>1.5.1.19</t>
  </si>
  <si>
    <t>1.5.1.20</t>
  </si>
  <si>
    <t>Fabricated from Rectangular Shapes</t>
  </si>
  <si>
    <t xml:space="preserve">Rectangular items </t>
  </si>
  <si>
    <t>Part Name</t>
  </si>
  <si>
    <t xml:space="preserve">Width/Chord </t>
  </si>
  <si>
    <t xml:space="preserve">Height/THK </t>
  </si>
  <si>
    <t>Length/span</t>
  </si>
  <si>
    <t>Volume</t>
  </si>
  <si>
    <t xml:space="preserve">Density </t>
  </si>
  <si>
    <t>Weight per item</t>
  </si>
  <si>
    <t># of item</t>
  </si>
  <si>
    <t xml:space="preserve">Total W# all items </t>
  </si>
  <si>
    <t>Comments</t>
  </si>
  <si>
    <t xml:space="preserve">Cost per pound </t>
  </si>
  <si>
    <t xml:space="preserve">Total Cost of items </t>
  </si>
  <si>
    <t>Additional Estimating Notes</t>
  </si>
  <si>
    <t xml:space="preserve">Stator blades </t>
  </si>
  <si>
    <t xml:space="preserve">Steel --both stators </t>
  </si>
  <si>
    <t xml:space="preserve">Used rotor blade per pound machining estimate derived from NU CON verbal rotor blade machining estimate </t>
  </si>
  <si>
    <t>generator support struts</t>
  </si>
  <si>
    <t>Steel -4 each end of motor</t>
  </si>
  <si>
    <t xml:space="preserve">generator/motor plate weldments (bolt generator feet to) </t>
  </si>
  <si>
    <t xml:space="preserve">Steel </t>
  </si>
  <si>
    <t xml:space="preserve">assembly slide linear bearing housings </t>
  </si>
  <si>
    <t>3 welded assembly feet between duct OD and linear brg hsgs</t>
  </si>
  <si>
    <t xml:space="preserve">Steel --GES CADD model </t>
  </si>
  <si>
    <t>Electronic control panel box --top &amp; bottom</t>
  </si>
  <si>
    <t xml:space="preserve">Electronic control panel box --front &amp; back </t>
  </si>
  <si>
    <t xml:space="preserve">Electronic control panel box --left &amp; right sides </t>
  </si>
  <si>
    <t xml:space="preserve">Subtotal </t>
  </si>
  <si>
    <t xml:space="preserve">Pounds </t>
  </si>
  <si>
    <t>Fabricated Rectangular Part</t>
  </si>
  <si>
    <t>1.5.2.1</t>
  </si>
  <si>
    <t>1.5.2.2</t>
  </si>
  <si>
    <t>1.5.2.3</t>
  </si>
  <si>
    <t>1.5.2.4</t>
  </si>
  <si>
    <t>1.5.2.5</t>
  </si>
  <si>
    <t>1.5.2.6</t>
  </si>
  <si>
    <t>1.5.2.7</t>
  </si>
  <si>
    <t>1.5.2.8</t>
  </si>
  <si>
    <t>Off-the-shelf components</t>
  </si>
  <si>
    <t xml:space="preserve">Weight of item </t>
  </si>
  <si>
    <t xml:space="preserve">Quantity of Item </t>
  </si>
  <si>
    <t xml:space="preserve">total weight for all this item </t>
  </si>
  <si>
    <t xml:space="preserve">Cost per item or per pound </t>
  </si>
  <si>
    <t xml:space="preserve">Total Cost </t>
  </si>
  <si>
    <t xml:space="preserve">Added estimating notes </t>
  </si>
  <si>
    <t xml:space="preserve">Duct Tee's </t>
  </si>
  <si>
    <t xml:space="preserve">Duct axial stiffeners--fabrication cost assumed part of previous sheet </t>
  </si>
  <si>
    <t>Engineering Estimate Based On Past Experience</t>
  </si>
  <si>
    <t>Timken T711</t>
  </si>
  <si>
    <t>Quote Email Applied Industrial Tech. August 1 2013</t>
  </si>
  <si>
    <t>Roller bearings</t>
  </si>
  <si>
    <t>Timken 52RIT240</t>
  </si>
  <si>
    <t>Flex coupling</t>
  </si>
  <si>
    <t>Omega E80</t>
  </si>
  <si>
    <t>Past Quote for 48" WT test program</t>
  </si>
  <si>
    <t>Motor Generator</t>
  </si>
  <si>
    <t>Baldor IDDRPM404006</t>
  </si>
  <si>
    <t xml:space="preserve">Rotor  Blades </t>
  </si>
  <si>
    <t xml:space="preserve">finished blade weights--machining only--hub blank other sheets </t>
  </si>
  <si>
    <t xml:space="preserve">$55,000 verbal estimate Aug 19 from David Bernhardt of NU Con Corp; we provide free machining steel C1119 blank with .100" excess on each side of blades.  --must paint </t>
  </si>
  <si>
    <t>ABB - acs800-17-0580-5+C129</t>
  </si>
  <si>
    <t xml:space="preserve">Mechancial face seal </t>
  </si>
  <si>
    <t xml:space="preserve">$$ based on high pressure Sea Maverick seal 2.625" dia (this is large but low pressure) </t>
  </si>
  <si>
    <t xml:space="preserve">see note left </t>
  </si>
  <si>
    <t>Sea Mavrick seal $5115 each</t>
  </si>
  <si>
    <t>Ducting</t>
  </si>
  <si>
    <t>Jim Mickey REVISED 1-9-14</t>
  </si>
  <si>
    <t>Bearings</t>
  </si>
  <si>
    <t>Thrust bearings</t>
  </si>
  <si>
    <t>cost per part [$/item]</t>
  </si>
  <si>
    <t>Coupling</t>
  </si>
  <si>
    <t>Rotor Blades</t>
  </si>
  <si>
    <t>Power Electronics</t>
  </si>
  <si>
    <t>Off-the-Shelf Components</t>
  </si>
  <si>
    <t xml:space="preserve">1.5.4 </t>
  </si>
  <si>
    <t>Duct Tee's</t>
  </si>
  <si>
    <t>1.5.5.1</t>
  </si>
  <si>
    <t>1.5.5.2</t>
  </si>
  <si>
    <t>cost per unit[$/kg]</t>
  </si>
  <si>
    <t>Flex Coupling</t>
  </si>
  <si>
    <t>Mechanical Face Seal</t>
  </si>
  <si>
    <t>Electronics</t>
  </si>
  <si>
    <t>Seal</t>
  </si>
  <si>
    <t>Fabricated Rectangular Parts</t>
  </si>
  <si>
    <t xml:space="preserve">RM3 Frequency Converter </t>
  </si>
  <si>
    <t>RM3 Seals</t>
  </si>
  <si>
    <t>RM3 Generator</t>
  </si>
  <si>
    <t>15% Default for Fab'd parts</t>
  </si>
  <si>
    <t>5% Default for already mass produced parts</t>
  </si>
  <si>
    <t>RM3 Bearings</t>
  </si>
  <si>
    <t>Progress Ratio/Learning Curve Notes (SJ 5/30/2014)</t>
  </si>
  <si>
    <t>*RM3 Estimate</t>
  </si>
  <si>
    <t>Based off of RM3 estimates with updated spacing between devices (800m vs 600m)</t>
  </si>
  <si>
    <t>http://www.mech.ed.ac.uk/research/wavepower/turbine/design%20&amp;%20construction%20of%20vpt.htm#images_top</t>
  </si>
  <si>
    <t>http://www.sealtd.co.uk/files/34seaclam.pdf</t>
  </si>
  <si>
    <t>USE for MEAN Failure Rate for Wells Turbine</t>
  </si>
  <si>
    <t>8 yrs</t>
  </si>
  <si>
    <t>5 yrs</t>
  </si>
  <si>
    <t>Anchor - Fore Anchor Stevpris Mk6, 7-tonne (x 2)</t>
  </si>
  <si>
    <t>7(x2) tonne extrapolation</t>
  </si>
  <si>
    <t xml:space="preserve">scaled by (7/5) from 5 tonne </t>
  </si>
  <si>
    <t>StevPris Quote # 9327 (modified to account for 5-7 tonne change)</t>
  </si>
  <si>
    <t>Wells Turbine Assembly</t>
  </si>
  <si>
    <t>Flex Couplings</t>
  </si>
  <si>
    <t>Single Unit Device</t>
  </si>
  <si>
    <t>5 Year</t>
  </si>
  <si>
    <r>
      <t>Depreciate Schedule [MACRS</t>
    </r>
    <r>
      <rPr>
        <sz val="10"/>
        <rFont val="Arial"/>
        <family val="2"/>
      </rPr>
      <t>]</t>
    </r>
  </si>
  <si>
    <t>D - Present Value of Depreciation Tax Shield</t>
  </si>
  <si>
    <t>FCR - Fixed Charge Rate</t>
  </si>
  <si>
    <t>r - Real Discount Rate</t>
  </si>
  <si>
    <t>i - Inflation Rate</t>
  </si>
  <si>
    <t>τ - Composite Federal-State Tax Rate</t>
  </si>
  <si>
    <t>N - Project Economic Life</t>
  </si>
  <si>
    <t>Financial Variables (as per DOE LCOE Guidance Document)</t>
  </si>
  <si>
    <t>2 device per day</t>
  </si>
  <si>
    <t>Doubled devices per day because of the hydrodynamic drag associated with RM6 vs RM3</t>
  </si>
  <si>
    <t>*Use high dollar estimate due to the increased crane capacity required for RM6 (Jenne)</t>
  </si>
  <si>
    <t>RE Vision estimated values, high estimate used unless more appropriate value is found (Jenne)</t>
  </si>
  <si>
    <t>Failure rates Generator, Electronics, Mooring, Riser Cable, and Bearings are based off of Revision RM3 Estimates</t>
  </si>
  <si>
    <t>Failure rates for Rotor blades (Thorpe, 1992)</t>
  </si>
  <si>
    <t xml:space="preserve">Thorpe, T.W. 1992. A Review of Waver Energy, Volume 2; Appendicies. ETSU. Strategic Studies Department. December 1992. http://www.sealtd.co.uk/files/34seaclam.pdf </t>
  </si>
  <si>
    <t>All Prices are based on a single device (i.e. all 5 rotors would be replaced at same time)</t>
  </si>
  <si>
    <t>Flex Coupling assumes 10 year L50, may need to revisit</t>
  </si>
  <si>
    <t>Failure Rates for PTO/PCC</t>
  </si>
  <si>
    <t># Wells Turbine Replacements/Ops-day</t>
  </si>
  <si>
    <t>Rebuild Wells Turbine</t>
  </si>
  <si>
    <t>Device Retreival requires significantly larger boat than RM3 due to weight, day rate multiplied by 2.5 to account for mass change (see above)</t>
  </si>
  <si>
    <t>Bearing Grease/Oil</t>
  </si>
  <si>
    <t>Other category rolled over from RM3</t>
  </si>
  <si>
    <t>Bearing Grease/Oil assumed at $1,000/year likely needs to revisit</t>
  </si>
  <si>
    <t>Used Average $/kg estimate from ReVision</t>
  </si>
  <si>
    <t xml:space="preserve">Cost Estimating Notes </t>
  </si>
  <si>
    <t>RE Vision cost assessment (modifed by Jenne, doubled number of vessels based on hydrodynamic drag estimate)</t>
  </si>
  <si>
    <t>Data directly taken from PNNL study (RM6)</t>
  </si>
  <si>
    <t>PNNL - Described in Separate Report (RM6)</t>
  </si>
  <si>
    <t>PNNL Document # 22723</t>
  </si>
  <si>
    <t>Copping, Geerlofs, and Hanna. "The Contribution of Environmental Siting and Permitting Requirements the Cost of Energy for Oscillating Water Column Wave Energy Devices"</t>
  </si>
  <si>
    <t>Failure Rates for Flex Couplings Assumed at 10 years (May need to revisit)</t>
  </si>
  <si>
    <t>Cost Breakdown Structure for OWC Rated at 373 kW</t>
  </si>
  <si>
    <t>Total LCOE ($/kWh)</t>
  </si>
  <si>
    <t>Total LCOE [$/kWh]</t>
  </si>
  <si>
    <t>Device Structure</t>
  </si>
  <si>
    <t>LCOE Overview</t>
  </si>
  <si>
    <t>PCC Breakdown</t>
  </si>
  <si>
    <t>Mooring Breakdown</t>
  </si>
  <si>
    <t>1-Unit Deployment [$/kW]</t>
  </si>
  <si>
    <t>10-Unit Deployment [$/kW]</t>
  </si>
  <si>
    <t>50-Unit Deployment [$/kW]</t>
  </si>
  <si>
    <t>100-Unit Deployment [$/kW]</t>
  </si>
  <si>
    <t>Polyester Line</t>
  </si>
  <si>
    <t>R4 Chain</t>
  </si>
  <si>
    <t>1.3.1 (Wire Rope)</t>
  </si>
  <si>
    <t>Estimate from RM3 ReVision</t>
  </si>
  <si>
    <t xml:space="preserve">Wire Rope to Sub-Sea Buoys </t>
  </si>
  <si>
    <t>Deployment Strategy</t>
  </si>
  <si>
    <t>Mooring Installation (DP-2 Vessel)</t>
  </si>
  <si>
    <t>Transit (5,000 miles)</t>
  </si>
  <si>
    <t>Mob/Demob of Vessels</t>
  </si>
  <si>
    <t>Dockside Support</t>
  </si>
  <si>
    <t>At Dock Landing</t>
  </si>
  <si>
    <t>On-Site working</t>
  </si>
  <si>
    <t xml:space="preserve">Horizontal Drilling </t>
  </si>
  <si>
    <t>Cable Installation (Using Cable Install Vessel)</t>
  </si>
  <si>
    <t>Device Installation (Same Workboat used for O&amp;M)</t>
  </si>
  <si>
    <t>Mob/Demob</t>
  </si>
  <si>
    <t>Operation Detail</t>
  </si>
  <si>
    <t>No. Days</t>
  </si>
  <si>
    <t>Vessel Day Rate</t>
  </si>
  <si>
    <t>Installation Cost Breakdown</t>
  </si>
  <si>
    <t>Cost/Part [$ USD]</t>
  </si>
  <si>
    <t>Annual O&amp;M Breakdown</t>
  </si>
  <si>
    <t>Post-Installation Monitoring</t>
  </si>
  <si>
    <t>LCOE High Level</t>
  </si>
  <si>
    <t>O&amp;M</t>
  </si>
  <si>
    <t xml:space="preserve">M&amp;D </t>
  </si>
  <si>
    <t>% of Total LCOE</t>
  </si>
  <si>
    <t>CapEx Contributions</t>
  </si>
  <si>
    <t>PCC</t>
  </si>
  <si>
    <t>Design</t>
  </si>
  <si>
    <t>% of Total CapEx</t>
  </si>
  <si>
    <t>Opex Contributions to LCOE</t>
  </si>
  <si>
    <t>Post-Installation Environmental Monitoring</t>
  </si>
  <si>
    <t>% of Total OpEx</t>
  </si>
  <si>
    <t>CBS Category</t>
  </si>
  <si>
    <t>Result Maturity / Fidelity</t>
  </si>
  <si>
    <t>Uncertainty</t>
  </si>
  <si>
    <t>Sub-Category                                                     (if Applicable)</t>
  </si>
  <si>
    <t>Site Assesment</t>
  </si>
  <si>
    <t>Cables and Connectors</t>
  </si>
  <si>
    <t>Dockside and Vessel</t>
  </si>
  <si>
    <t>TRL 3 design and analysis</t>
  </si>
  <si>
    <t>High</t>
  </si>
  <si>
    <t>Based on data from similar studies and/or engieering judgement and/or data from PNNL study.</t>
  </si>
  <si>
    <t>Medium to High</t>
  </si>
  <si>
    <t>Conceptual layout, generic hardware ID and estimates</t>
  </si>
  <si>
    <t>Generic for dockside and Generic vessel ID</t>
  </si>
  <si>
    <t>Medium</t>
  </si>
  <si>
    <t>Foundation/ Mooring</t>
  </si>
  <si>
    <t xml:space="preserve">Device Structural Components </t>
  </si>
  <si>
    <t>N/A</t>
  </si>
  <si>
    <t>Design with Combination of specific and conceptual hardware</t>
  </si>
  <si>
    <t>Low to Medium</t>
  </si>
  <si>
    <t>All</t>
  </si>
  <si>
    <t>All Components</t>
  </si>
  <si>
    <t>ARL designed turbine with fabrication estimates and off the shelf part quotes</t>
  </si>
  <si>
    <t xml:space="preserve">Low  </t>
  </si>
  <si>
    <t>Time and Material estimates for a specific resource location which includes labor</t>
  </si>
  <si>
    <t>Assumed to 10% of machine cost</t>
  </si>
  <si>
    <t>Assumed to be same as installation cost</t>
  </si>
  <si>
    <t>Large Uncertainties with respect to maintenance and a simplified O&amp;M model</t>
  </si>
  <si>
    <t>Large Uncertainties in failure rates due to lack of Wells turbine performance data</t>
  </si>
  <si>
    <t>Limted failure rate data, based on original part cost</t>
  </si>
  <si>
    <t>Assumed value for lubrication and other consumables</t>
  </si>
  <si>
    <t>Based on offshore Oil/Gas projects</t>
  </si>
  <si>
    <t>Low</t>
  </si>
  <si>
    <t>Based on PNNL study</t>
  </si>
  <si>
    <t>CapEx</t>
  </si>
  <si>
    <t>OpEx</t>
  </si>
  <si>
    <t>CAD designs, Conceptual Designs, steel cost estimates. High uncertainty is due to potential for re-design.</t>
  </si>
  <si>
    <t>RM3 estimate multiplied by 2 due to  account for 2 vessels (similar to installation)</t>
  </si>
  <si>
    <t>10-Unit</t>
  </si>
  <si>
    <t>10 unit</t>
  </si>
  <si>
    <t>Inter-Device Cable Cost</t>
  </si>
  <si>
    <t>Mass Production (10-Unit Scale)</t>
  </si>
  <si>
    <t>RM6 Mass</t>
  </si>
  <si>
    <t>LCOE</t>
  </si>
  <si>
    <t>Scale [units]</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</si>
</sst>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quot;$&quot;#,##0"/>
    <numFmt numFmtId="166" formatCode="0.0%"/>
    <numFmt numFmtId="167" formatCode="0.0"/>
    <numFmt numFmtId="168" formatCode="&quot;$&quot;#,##0.00"/>
    <numFmt numFmtId="169" formatCode="_(&quot;$&quot;* #,##0_);_(&quot;$&quot;* \(#,##0\);_(&quot;$&quot;* &quot;-&quot;??_);_(@_)"/>
    <numFmt numFmtId="170" formatCode="#,##0.0"/>
    <numFmt numFmtId="171" formatCode="0.0000"/>
    <numFmt numFmtId="172" formatCode="0.000"/>
    <numFmt numFmtId="173" formatCode="[$$-409]#,##0_);\([$$-409]#,##0\)"/>
    <numFmt numFmtId="174" formatCode="0.000000000000000%"/>
    <numFmt numFmtId="175" formatCode="#,##0.0_);\(#,##0.0\)"/>
    <numFmt numFmtId="176" formatCode="0.00000%"/>
    <numFmt numFmtId="177" formatCode="_(&quot;$&quot;* #,##0.0_);_(&quot;$&quot;* \(#,##0.0\);_(&quot;$&quot;* &quot;-&quot;??_);_(@_)"/>
    <numFmt numFmtId="178" formatCode="[$€-2]\ #,##0"/>
    <numFmt numFmtId="179" formatCode="_([$$-409]* #,##0.00_);_([$$-409]* \(#,##0.00\);_([$$-409]* &quot;-&quot;??_);_(@_)"/>
    <numFmt numFmtId="180" formatCode="[$$-409]#,##0.00"/>
  </numFmts>
  <fonts count="64" x14ac:knownFonts="1">
    <font>
      <sz val="11"/>
      <color theme="1"/>
      <name val="Calibri"/>
      <family val="2"/>
      <scheme val="minor"/>
    </font>
    <font>
      <b/>
      <u/>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Calibri"/>
      <family val="2"/>
      <scheme val="minor"/>
    </font>
    <font>
      <b/>
      <sz val="10"/>
      <name val="Arial"/>
      <family val="2"/>
    </font>
    <font>
      <b/>
      <sz val="11"/>
      <color theme="1"/>
      <name val="Times New Roman"/>
      <family val="1"/>
    </font>
    <font>
      <b/>
      <sz val="12"/>
      <name val="Arial"/>
      <family val="2"/>
    </font>
    <font>
      <i/>
      <sz val="10"/>
      <name val="Arial"/>
      <family val="2"/>
    </font>
    <font>
      <sz val="11"/>
      <color indexed="8"/>
      <name val="Calibri"/>
      <family val="2"/>
      <scheme val="minor"/>
    </font>
    <font>
      <sz val="10"/>
      <color theme="1"/>
      <name val="Arial"/>
      <family val="2"/>
    </font>
    <font>
      <sz val="11"/>
      <name val="Calibri"/>
      <family val="2"/>
      <scheme val="minor"/>
    </font>
    <font>
      <b/>
      <sz val="12"/>
      <color theme="1"/>
      <name val="Calibri"/>
      <family val="2"/>
      <scheme val="minor"/>
    </font>
    <font>
      <sz val="11"/>
      <name val="Arial"/>
      <family val="2"/>
    </font>
    <font>
      <i/>
      <sz val="11"/>
      <color theme="1"/>
      <name val="Calibri"/>
      <family val="2"/>
      <scheme val="minor"/>
    </font>
    <font>
      <u/>
      <sz val="11"/>
      <color theme="10"/>
      <name val="Calibri"/>
      <family val="2"/>
      <scheme val="minor"/>
    </font>
    <font>
      <u/>
      <sz val="10"/>
      <color indexed="12"/>
      <name val="Arial"/>
      <family val="2"/>
    </font>
    <font>
      <sz val="10"/>
      <color indexed="8"/>
      <name val="Arial"/>
      <family val="2"/>
    </font>
    <font>
      <sz val="10"/>
      <color indexed="10"/>
      <name val="Arial"/>
      <family val="2"/>
    </font>
    <font>
      <sz val="10"/>
      <color indexed="9"/>
      <name val="Arial"/>
      <family val="2"/>
    </font>
    <font>
      <u/>
      <sz val="11"/>
      <name val="Arial"/>
      <family val="2"/>
    </font>
    <font>
      <sz val="11"/>
      <color theme="1"/>
      <name val="Arial"/>
      <family val="2"/>
    </font>
    <font>
      <b/>
      <sz val="10"/>
      <color theme="1"/>
      <name val="Arial"/>
      <family val="2"/>
    </font>
    <font>
      <sz val="12"/>
      <color indexed="8"/>
      <name val="Calibri"/>
      <family val="2"/>
    </font>
    <font>
      <sz val="11"/>
      <color rgb="FFFF0000"/>
      <name val="Calibri"/>
      <family val="2"/>
      <scheme val="minor"/>
    </font>
    <font>
      <b/>
      <sz val="10"/>
      <name val="Times New Roman"/>
      <family val="1"/>
    </font>
    <font>
      <sz val="10"/>
      <name val="Times New Roman"/>
      <family val="1"/>
    </font>
    <font>
      <i/>
      <sz val="10"/>
      <name val="Times New Roman"/>
      <family val="1"/>
    </font>
    <font>
      <sz val="11"/>
      <color theme="1"/>
      <name val="Times New Roman"/>
      <family val="1"/>
    </font>
    <font>
      <sz val="12"/>
      <color rgb="FF9C6500"/>
      <name val="Calibri"/>
      <family val="2"/>
      <scheme val="minor"/>
    </font>
    <font>
      <vertAlign val="subscript"/>
      <sz val="11"/>
      <color theme="1"/>
      <name val="Calibri"/>
      <family val="2"/>
      <scheme val="minor"/>
    </font>
    <font>
      <b/>
      <vertAlign val="subscript"/>
      <sz val="11"/>
      <color theme="1"/>
      <name val="Calibri"/>
      <family val="2"/>
      <scheme val="minor"/>
    </font>
    <font>
      <b/>
      <sz val="12"/>
      <color rgb="FF9C6500"/>
      <name val="Calibri"/>
      <family val="2"/>
      <scheme val="minor"/>
    </font>
    <font>
      <b/>
      <vertAlign val="superscript"/>
      <sz val="11"/>
      <color theme="1"/>
      <name val="Calibri"/>
      <family val="2"/>
      <scheme val="minor"/>
    </font>
    <font>
      <strike/>
      <sz val="11"/>
      <color theme="1"/>
      <name val="Calibri"/>
      <family val="2"/>
      <scheme val="minor"/>
    </font>
    <font>
      <sz val="11"/>
      <color theme="1"/>
      <name val="Calibri"/>
      <family val="2"/>
    </font>
    <font>
      <sz val="9.9"/>
      <color theme="1"/>
      <name val="Calibri"/>
      <family val="2"/>
    </font>
    <font>
      <b/>
      <i/>
      <sz val="11"/>
      <color theme="1"/>
      <name val="Calibri"/>
      <family val="2"/>
      <scheme val="minor"/>
    </font>
    <font>
      <b/>
      <sz val="11"/>
      <color rgb="FFFF0000"/>
      <name val="Calibri"/>
      <family val="2"/>
      <scheme val="minor"/>
    </font>
    <font>
      <b/>
      <sz val="11"/>
      <color theme="3" tint="-0.249977111117893"/>
      <name val="Calibri"/>
      <family val="2"/>
      <scheme val="minor"/>
    </font>
    <font>
      <b/>
      <sz val="18"/>
      <name val="Calibri"/>
      <family val="2"/>
      <scheme val="minor"/>
    </font>
    <font>
      <b/>
      <sz val="28"/>
      <color rgb="FFFF0000"/>
      <name val="Calibri"/>
      <family val="2"/>
      <scheme val="minor"/>
    </font>
    <font>
      <sz val="9"/>
      <color theme="1"/>
      <name val="Calibri"/>
      <family val="2"/>
      <scheme val="minor"/>
    </font>
    <font>
      <b/>
      <sz val="9"/>
      <color theme="0"/>
      <name val="Calibri"/>
      <family val="2"/>
      <scheme val="minor"/>
    </font>
    <font>
      <b/>
      <sz val="9"/>
      <color theme="1"/>
      <name val="Calibri"/>
      <family val="2"/>
      <scheme val="minor"/>
    </font>
    <font>
      <sz val="11"/>
      <color rgb="FF000000"/>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22"/>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FFEB9C"/>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6"/>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1"/>
        <bgColor indexed="64"/>
      </patternFill>
    </fill>
    <fill>
      <patternFill patternType="solid">
        <fgColor theme="3"/>
        <bgColor indexed="64"/>
      </patternFill>
    </fill>
    <fill>
      <patternFill patternType="solid">
        <fgColor theme="2" tint="-9.9978637043366805E-2"/>
        <bgColor indexed="64"/>
      </patternFill>
    </fill>
    <fill>
      <patternFill patternType="solid">
        <fgColor theme="4" tint="0.39997558519241921"/>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right style="thin">
        <color auto="1"/>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bottom style="thin">
        <color auto="1"/>
      </bottom>
      <diagonal/>
    </border>
    <border>
      <left/>
      <right style="thin">
        <color auto="1"/>
      </right>
      <top style="thin">
        <color auto="1"/>
      </top>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double">
        <color indexed="64"/>
      </bottom>
      <diagonal/>
    </border>
    <border>
      <left/>
      <right/>
      <top/>
      <bottom style="double">
        <color indexed="64"/>
      </bottom>
      <diagonal/>
    </border>
    <border>
      <left/>
      <right/>
      <top/>
      <bottom style="double">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53">
    <xf numFmtId="0" fontId="0" fillId="0" borderId="0"/>
    <xf numFmtId="164" fontId="4" fillId="0" borderId="0">
      <alignment horizontal="left" wrapText="1"/>
    </xf>
    <xf numFmtId="9" fontId="4" fillId="0" borderId="0" applyFont="0" applyFill="0" applyBorder="0" applyAlignment="0" applyProtection="0"/>
    <xf numFmtId="0" fontId="4" fillId="0" borderId="0"/>
    <xf numFmtId="43"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6" fillId="0" borderId="6" applyNumberFormat="0" applyFill="0" applyAlignment="0" applyProtection="0"/>
    <xf numFmtId="0" fontId="17" fillId="22" borderId="0" applyNumberFormat="0" applyBorder="0" applyAlignment="0" applyProtection="0"/>
    <xf numFmtId="0" fontId="2" fillId="0" borderId="0"/>
    <xf numFmtId="0" fontId="5" fillId="23" borderId="7" applyNumberFormat="0" applyFont="0" applyAlignment="0" applyProtection="0"/>
    <xf numFmtId="0" fontId="18" fillId="20" borderId="8" applyNumberFormat="0" applyAlignment="0" applyProtection="0"/>
    <xf numFmtId="9" fontId="4"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xf numFmtId="0" fontId="2" fillId="0" borderId="0"/>
    <xf numFmtId="0" fontId="5" fillId="0" borderId="0"/>
    <xf numFmtId="0" fontId="2" fillId="0" borderId="0"/>
    <xf numFmtId="9" fontId="2" fillId="0" borderId="0" applyFont="0" applyFill="0" applyBorder="0" applyAlignment="0" applyProtection="0"/>
    <xf numFmtId="0" fontId="4" fillId="0" borderId="0"/>
    <xf numFmtId="164" fontId="4" fillId="0" borderId="0">
      <alignment horizontal="left" wrapText="1"/>
    </xf>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6" fillId="0" borderId="6" applyNumberFormat="0" applyFill="0" applyAlignment="0" applyProtection="0"/>
    <xf numFmtId="0" fontId="17" fillId="22" borderId="0" applyNumberFormat="0" applyBorder="0" applyAlignment="0" applyProtection="0"/>
    <xf numFmtId="0" fontId="4"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18" fillId="20" borderId="8" applyNumberFormat="0" applyAlignment="0" applyProtection="0"/>
    <xf numFmtId="0" fontId="18" fillId="20" borderId="8" applyNumberFormat="0" applyAlignment="0" applyProtection="0"/>
    <xf numFmtId="0" fontId="18"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1" fillId="0" borderId="0" applyNumberFormat="0" applyFill="0" applyBorder="0" applyAlignment="0" applyProtection="0"/>
    <xf numFmtId="0" fontId="4"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4" fillId="0" borderId="0"/>
    <xf numFmtId="0" fontId="4" fillId="0" borderId="0"/>
    <xf numFmtId="0" fontId="4" fillId="0" borderId="0"/>
    <xf numFmtId="0" fontId="4" fillId="0" borderId="0"/>
    <xf numFmtId="166" fontId="4" fillId="0" borderId="0" applyFont="0" applyFill="0" applyBorder="0" applyAlignment="0" applyProtection="0"/>
    <xf numFmtId="164" fontId="4" fillId="0" borderId="0">
      <alignment horizontal="left" wrapText="1"/>
    </xf>
    <xf numFmtId="164" fontId="4" fillId="0" borderId="0">
      <alignment horizontal="left" wrapText="1"/>
    </xf>
    <xf numFmtId="164" fontId="4" fillId="0" borderId="0">
      <alignment horizontal="left" wrapText="1"/>
    </xf>
    <xf numFmtId="164" fontId="4" fillId="0" borderId="0">
      <alignment horizontal="left" wrapText="1"/>
    </xf>
    <xf numFmtId="164" fontId="4" fillId="0" borderId="0">
      <alignment horizontal="left" wrapText="1"/>
    </xf>
    <xf numFmtId="164" fontId="4" fillId="0" borderId="0">
      <alignment horizontal="left" wrapText="1"/>
    </xf>
    <xf numFmtId="164" fontId="4" fillId="0" borderId="0">
      <alignment horizontal="left" wrapText="1"/>
    </xf>
    <xf numFmtId="164" fontId="4" fillId="0" borderId="0">
      <alignment horizontal="left" wrapText="1"/>
    </xf>
    <xf numFmtId="164" fontId="4" fillId="0" borderId="0">
      <alignment horizontal="left" wrapText="1"/>
    </xf>
    <xf numFmtId="9" fontId="2" fillId="0" borderId="0" applyFont="0" applyFill="0" applyBorder="0" applyAlignment="0" applyProtection="0"/>
    <xf numFmtId="0" fontId="47" fillId="28" borderId="0" applyNumberFormat="0" applyBorder="0" applyAlignment="0" applyProtection="0"/>
    <xf numFmtId="43" fontId="2" fillId="0" borderId="0" applyFont="0" applyFill="0" applyBorder="0" applyAlignment="0" applyProtection="0"/>
  </cellStyleXfs>
  <cellXfs count="1004">
    <xf numFmtId="0" fontId="0" fillId="0" borderId="0" xfId="0"/>
    <xf numFmtId="0" fontId="0" fillId="0" borderId="0" xfId="0" applyAlignment="1">
      <alignment horizontal="left"/>
    </xf>
    <xf numFmtId="0" fontId="1" fillId="0" borderId="0" xfId="0" applyFont="1" applyAlignment="1">
      <alignment horizontal="left"/>
    </xf>
    <xf numFmtId="42" fontId="0" fillId="0" borderId="0" xfId="0" applyNumberFormat="1" applyFill="1"/>
    <xf numFmtId="0" fontId="0" fillId="0" borderId="0" xfId="0" applyFill="1"/>
    <xf numFmtId="0" fontId="0" fillId="0" borderId="0" xfId="0"/>
    <xf numFmtId="165" fontId="0" fillId="0" borderId="0" xfId="0" applyNumberFormat="1"/>
    <xf numFmtId="42" fontId="0" fillId="0" borderId="0" xfId="0" applyNumberFormat="1"/>
    <xf numFmtId="0" fontId="3" fillId="0" borderId="0" xfId="0" applyFont="1"/>
    <xf numFmtId="44" fontId="0" fillId="0" borderId="0" xfId="0" applyNumberFormat="1"/>
    <xf numFmtId="0" fontId="0" fillId="0" borderId="0" xfId="0"/>
    <xf numFmtId="0" fontId="3" fillId="0" borderId="0" xfId="0" applyFont="1"/>
    <xf numFmtId="0" fontId="0" fillId="0" borderId="0" xfId="0" applyAlignment="1">
      <alignment horizontal="right"/>
    </xf>
    <xf numFmtId="0" fontId="0" fillId="0" borderId="0" xfId="0" applyFont="1"/>
    <xf numFmtId="0" fontId="0" fillId="0" borderId="0" xfId="0" applyBorder="1"/>
    <xf numFmtId="0" fontId="0" fillId="0" borderId="0" xfId="0" applyFill="1" applyBorder="1"/>
    <xf numFmtId="165" fontId="0" fillId="0" borderId="0" xfId="0" applyNumberFormat="1"/>
    <xf numFmtId="9" fontId="0" fillId="0" borderId="0" xfId="0" applyNumberFormat="1"/>
    <xf numFmtId="0" fontId="0" fillId="0" borderId="17" xfId="0" applyBorder="1"/>
    <xf numFmtId="165" fontId="0" fillId="0" borderId="17" xfId="0" applyNumberFormat="1" applyBorder="1"/>
    <xf numFmtId="3" fontId="0" fillId="0" borderId="17" xfId="0" applyNumberFormat="1" applyBorder="1"/>
    <xf numFmtId="167" fontId="0" fillId="0" borderId="0" xfId="0" applyNumberFormat="1"/>
    <xf numFmtId="10" fontId="0" fillId="0" borderId="0" xfId="0" applyNumberFormat="1"/>
    <xf numFmtId="0" fontId="0" fillId="24" borderId="0" xfId="0" applyFill="1"/>
    <xf numFmtId="0" fontId="0" fillId="0" borderId="17" xfId="0" applyFont="1" applyBorder="1"/>
    <xf numFmtId="3" fontId="0" fillId="0" borderId="0" xfId="0" applyNumberFormat="1" applyBorder="1"/>
    <xf numFmtId="165" fontId="0" fillId="0" borderId="0" xfId="0" applyNumberFormat="1" applyBorder="1"/>
    <xf numFmtId="168" fontId="0" fillId="0" borderId="0" xfId="0" applyNumberFormat="1" applyBorder="1"/>
    <xf numFmtId="9" fontId="0" fillId="0" borderId="0" xfId="0" applyNumberFormat="1" applyBorder="1"/>
    <xf numFmtId="0" fontId="0" fillId="0" borderId="0" xfId="0" applyFont="1" applyFill="1" applyBorder="1"/>
    <xf numFmtId="165" fontId="0" fillId="0" borderId="0" xfId="0" applyNumberFormat="1" applyFill="1" applyBorder="1"/>
    <xf numFmtId="0" fontId="3" fillId="0" borderId="0" xfId="0" applyFont="1" applyBorder="1"/>
    <xf numFmtId="170" fontId="0" fillId="0" borderId="0" xfId="0" applyNumberFormat="1" applyBorder="1"/>
    <xf numFmtId="4" fontId="0" fillId="0" borderId="0" xfId="0" applyNumberFormat="1" applyBorder="1"/>
    <xf numFmtId="2" fontId="0" fillId="0" borderId="0" xfId="0" applyNumberFormat="1"/>
    <xf numFmtId="3" fontId="0" fillId="0" borderId="0" xfId="0" applyNumberFormat="1" applyFill="1"/>
    <xf numFmtId="0" fontId="26" fillId="0" borderId="0" xfId="0" applyNumberFormat="1" applyFont="1" applyFill="1" applyBorder="1" applyAlignment="1" applyProtection="1">
      <alignment horizontal="center"/>
    </xf>
    <xf numFmtId="0" fontId="0" fillId="0" borderId="0" xfId="0"/>
    <xf numFmtId="0" fontId="0" fillId="0" borderId="0" xfId="0" applyAlignment="1">
      <alignment horizontal="left"/>
    </xf>
    <xf numFmtId="42" fontId="0" fillId="0" borderId="0" xfId="0" applyNumberFormat="1"/>
    <xf numFmtId="0" fontId="0" fillId="0" borderId="0" xfId="0" applyFill="1"/>
    <xf numFmtId="165" fontId="0" fillId="0" borderId="0" xfId="0" applyNumberFormat="1"/>
    <xf numFmtId="0" fontId="3" fillId="0" borderId="0" xfId="0" applyFont="1"/>
    <xf numFmtId="166" fontId="0" fillId="0" borderId="0" xfId="0" applyNumberFormat="1"/>
    <xf numFmtId="9" fontId="0" fillId="0" borderId="0" xfId="0" applyNumberFormat="1"/>
    <xf numFmtId="168" fontId="0" fillId="0" borderId="0" xfId="0" applyNumberFormat="1"/>
    <xf numFmtId="0" fontId="0" fillId="0" borderId="0" xfId="0" applyAlignment="1">
      <alignment horizontal="right"/>
    </xf>
    <xf numFmtId="10" fontId="0" fillId="0" borderId="0" xfId="0" applyNumberFormat="1"/>
    <xf numFmtId="0" fontId="0" fillId="0" borderId="0" xfId="0" applyFont="1" applyBorder="1"/>
    <xf numFmtId="165" fontId="0" fillId="0" borderId="0" xfId="0" applyNumberFormat="1" applyBorder="1"/>
    <xf numFmtId="2" fontId="0" fillId="0" borderId="0" xfId="0" applyNumberFormat="1"/>
    <xf numFmtId="0" fontId="0" fillId="0" borderId="0" xfId="0"/>
    <xf numFmtId="0" fontId="0" fillId="0" borderId="0" xfId="0" applyFont="1" applyBorder="1" applyAlignment="1">
      <alignment horizontal="left"/>
    </xf>
    <xf numFmtId="0" fontId="27" fillId="0" borderId="0" xfId="0" applyFont="1" applyBorder="1" applyAlignment="1">
      <alignment vertical="top" wrapText="1"/>
    </xf>
    <xf numFmtId="0" fontId="0" fillId="0" borderId="0" xfId="0" applyFont="1" applyBorder="1" applyAlignment="1"/>
    <xf numFmtId="0" fontId="27" fillId="0" borderId="0" xfId="0" applyFont="1" applyBorder="1" applyAlignment="1">
      <alignment vertical="top"/>
    </xf>
    <xf numFmtId="0" fontId="5" fillId="0" borderId="0" xfId="0" applyFont="1" applyBorder="1" applyAlignment="1">
      <alignment vertical="top" wrapText="1"/>
    </xf>
    <xf numFmtId="3" fontId="0" fillId="0" borderId="0" xfId="0" applyNumberFormat="1"/>
    <xf numFmtId="0" fontId="0" fillId="0" borderId="0" xfId="0"/>
    <xf numFmtId="0" fontId="3" fillId="0" borderId="0" xfId="0" applyFont="1"/>
    <xf numFmtId="0" fontId="0" fillId="0" borderId="0" xfId="0" applyFont="1"/>
    <xf numFmtId="0" fontId="0" fillId="0" borderId="0" xfId="0" applyFill="1"/>
    <xf numFmtId="0" fontId="0" fillId="0" borderId="0" xfId="0" applyFill="1" applyBorder="1"/>
    <xf numFmtId="0" fontId="0" fillId="0" borderId="0" xfId="0" applyAlignment="1">
      <alignment horizontal="right"/>
    </xf>
    <xf numFmtId="42" fontId="0" fillId="0" borderId="0" xfId="0" applyNumberFormat="1"/>
    <xf numFmtId="44" fontId="0" fillId="0" borderId="0" xfId="0" applyNumberFormat="1"/>
    <xf numFmtId="0" fontId="0" fillId="0" borderId="0" xfId="0"/>
    <xf numFmtId="0" fontId="0" fillId="0" borderId="0" xfId="0" applyBorder="1"/>
    <xf numFmtId="167" fontId="0" fillId="0" borderId="0" xfId="0" applyNumberFormat="1" applyFill="1"/>
    <xf numFmtId="1" fontId="0" fillId="0" borderId="0" xfId="0" applyNumberFormat="1" applyAlignment="1">
      <alignment horizontal="center"/>
    </xf>
    <xf numFmtId="0" fontId="0" fillId="0" borderId="0" xfId="0"/>
    <xf numFmtId="0" fontId="3" fillId="0" borderId="0" xfId="0" applyFont="1" applyAlignment="1">
      <alignment horizontal="left"/>
    </xf>
    <xf numFmtId="1" fontId="0" fillId="0" borderId="0" xfId="0" applyNumberFormat="1" applyBorder="1"/>
    <xf numFmtId="0" fontId="0" fillId="0" borderId="20" xfId="0" applyBorder="1"/>
    <xf numFmtId="0" fontId="0" fillId="0" borderId="20" xfId="0" applyBorder="1" applyAlignment="1">
      <alignment horizontal="left" vertical="center"/>
    </xf>
    <xf numFmtId="0" fontId="0" fillId="0" borderId="0" xfId="0" applyAlignment="1">
      <alignment vertical="center"/>
    </xf>
    <xf numFmtId="0" fontId="30" fillId="0" borderId="0" xfId="0" applyFont="1"/>
    <xf numFmtId="0" fontId="0" fillId="0" borderId="0" xfId="0" applyFont="1" applyFill="1"/>
    <xf numFmtId="0" fontId="0" fillId="0" borderId="17" xfId="0" applyFill="1" applyBorder="1"/>
    <xf numFmtId="169" fontId="0" fillId="0" borderId="0" xfId="0" applyNumberFormat="1"/>
    <xf numFmtId="0" fontId="3" fillId="0" borderId="0" xfId="0" applyFont="1" applyFill="1"/>
    <xf numFmtId="0" fontId="0" fillId="0" borderId="0" xfId="0" applyFont="1" applyAlignment="1">
      <alignment horizontal="right"/>
    </xf>
    <xf numFmtId="165" fontId="0" fillId="0" borderId="0" xfId="0" applyNumberFormat="1" applyAlignment="1">
      <alignment horizontal="right"/>
    </xf>
    <xf numFmtId="3" fontId="0" fillId="0" borderId="0" xfId="0" applyNumberFormat="1" applyFill="1" applyBorder="1"/>
    <xf numFmtId="42" fontId="0" fillId="0" borderId="0" xfId="0" applyNumberFormat="1" applyFont="1" applyFill="1"/>
    <xf numFmtId="42" fontId="3" fillId="0" borderId="0" xfId="0" applyNumberFormat="1" applyFont="1"/>
    <xf numFmtId="42" fontId="0" fillId="0" borderId="0" xfId="0" applyNumberFormat="1" applyFont="1"/>
    <xf numFmtId="0" fontId="5" fillId="0" borderId="0" xfId="0" applyFont="1" applyBorder="1" applyAlignment="1">
      <alignment vertical="top" wrapText="1"/>
    </xf>
    <xf numFmtId="1" fontId="3" fillId="0" borderId="0" xfId="0" applyNumberFormat="1" applyFont="1"/>
    <xf numFmtId="37" fontId="3" fillId="0" borderId="0" xfId="0" applyNumberFormat="1" applyFont="1"/>
    <xf numFmtId="0" fontId="3" fillId="0" borderId="0" xfId="0" applyFont="1" applyAlignment="1">
      <alignment horizontal="right"/>
    </xf>
    <xf numFmtId="0" fontId="32" fillId="0" borderId="0" xfId="0" applyFont="1"/>
    <xf numFmtId="0" fontId="32" fillId="0" borderId="0" xfId="0" applyFont="1" applyAlignment="1">
      <alignment horizontal="left"/>
    </xf>
    <xf numFmtId="0" fontId="5" fillId="0" borderId="17" xfId="0" applyFont="1" applyBorder="1" applyAlignment="1">
      <alignment vertical="top" wrapText="1"/>
    </xf>
    <xf numFmtId="0" fontId="27" fillId="0" borderId="17" xfId="0" applyFont="1" applyFill="1" applyBorder="1" applyAlignment="1">
      <alignment vertical="top"/>
    </xf>
    <xf numFmtId="168" fontId="0" fillId="0" borderId="0" xfId="0" applyNumberFormat="1" applyAlignment="1">
      <alignment horizontal="right"/>
    </xf>
    <xf numFmtId="9" fontId="0" fillId="0" borderId="0" xfId="0" applyNumberFormat="1" applyFont="1"/>
    <xf numFmtId="42" fontId="0" fillId="0" borderId="17" xfId="0" applyNumberFormat="1" applyBorder="1"/>
    <xf numFmtId="42" fontId="0" fillId="0" borderId="0" xfId="133" applyNumberFormat="1" applyFont="1"/>
    <xf numFmtId="9" fontId="28" fillId="0" borderId="0" xfId="0" applyNumberFormat="1" applyFont="1" applyBorder="1"/>
    <xf numFmtId="42" fontId="0" fillId="0" borderId="17" xfId="133" applyNumberFormat="1" applyFont="1" applyBorder="1"/>
    <xf numFmtId="165" fontId="0" fillId="0" borderId="0" xfId="0" applyNumberFormat="1" applyFont="1"/>
    <xf numFmtId="0" fontId="0" fillId="0" borderId="17" xfId="0" applyFont="1" applyFill="1" applyBorder="1"/>
    <xf numFmtId="169" fontId="0" fillId="0" borderId="0" xfId="133" applyNumberFormat="1" applyFont="1"/>
    <xf numFmtId="169" fontId="0" fillId="0" borderId="17" xfId="133" applyNumberFormat="1" applyFont="1" applyBorder="1"/>
    <xf numFmtId="3" fontId="29" fillId="0" borderId="0" xfId="0" applyNumberFormat="1" applyFont="1"/>
    <xf numFmtId="0" fontId="33" fillId="0" borderId="0" xfId="134"/>
    <xf numFmtId="1" fontId="0" fillId="0" borderId="0" xfId="0" applyNumberFormat="1" applyFill="1"/>
    <xf numFmtId="9" fontId="3" fillId="0" borderId="0" xfId="0" applyNumberFormat="1" applyFont="1"/>
    <xf numFmtId="0" fontId="4" fillId="0" borderId="0" xfId="3" applyBorder="1"/>
    <xf numFmtId="0" fontId="4" fillId="0" borderId="0" xfId="3"/>
    <xf numFmtId="0" fontId="4" fillId="0" borderId="0" xfId="3" applyFont="1" applyAlignment="1">
      <alignment wrapText="1"/>
    </xf>
    <xf numFmtId="0" fontId="23" fillId="0" borderId="0" xfId="3" applyFont="1" applyBorder="1"/>
    <xf numFmtId="0" fontId="23" fillId="0" borderId="0" xfId="3" applyFont="1"/>
    <xf numFmtId="0" fontId="35" fillId="0" borderId="0" xfId="3" applyFont="1"/>
    <xf numFmtId="0" fontId="4" fillId="0" borderId="0" xfId="3" applyBorder="1" applyAlignment="1">
      <alignment horizontal="left"/>
    </xf>
    <xf numFmtId="0" fontId="4" fillId="0" borderId="0" xfId="3" applyFill="1" applyBorder="1" applyAlignment="1">
      <alignment horizontal="left"/>
    </xf>
    <xf numFmtId="0" fontId="35" fillId="0" borderId="0" xfId="3" applyFont="1" applyBorder="1"/>
    <xf numFmtId="0" fontId="4" fillId="0" borderId="0" xfId="3" applyFill="1" applyBorder="1"/>
    <xf numFmtId="167" fontId="4" fillId="0" borderId="0" xfId="3" applyNumberFormat="1" applyBorder="1"/>
    <xf numFmtId="0" fontId="23" fillId="0" borderId="0" xfId="3" applyFont="1" applyFill="1"/>
    <xf numFmtId="0" fontId="4" fillId="0" borderId="0" xfId="3" applyFill="1"/>
    <xf numFmtId="9" fontId="4" fillId="26" borderId="12" xfId="3" applyNumberFormat="1" applyFill="1" applyBorder="1"/>
    <xf numFmtId="2" fontId="4" fillId="0" borderId="0" xfId="3" applyNumberFormat="1"/>
    <xf numFmtId="172" fontId="4" fillId="0" borderId="0" xfId="3" applyNumberFormat="1"/>
    <xf numFmtId="166" fontId="4" fillId="0" borderId="0" xfId="3" applyNumberFormat="1"/>
    <xf numFmtId="3" fontId="4" fillId="0" borderId="0" xfId="3" applyNumberFormat="1"/>
    <xf numFmtId="0" fontId="28" fillId="0" borderId="0" xfId="0" applyFont="1" applyFill="1" applyBorder="1"/>
    <xf numFmtId="166" fontId="4" fillId="26" borderId="12" xfId="3" applyNumberFormat="1" applyFont="1" applyFill="1" applyBorder="1" applyAlignment="1">
      <alignment horizontal="right"/>
    </xf>
    <xf numFmtId="166" fontId="4" fillId="26" borderId="12" xfId="3" applyNumberFormat="1" applyFont="1" applyFill="1" applyBorder="1"/>
    <xf numFmtId="40" fontId="4" fillId="0" borderId="0" xfId="3" applyNumberFormat="1"/>
    <xf numFmtId="3" fontId="4" fillId="0" borderId="0" xfId="3" applyNumberFormat="1" applyBorder="1"/>
    <xf numFmtId="174" fontId="4" fillId="0" borderId="0" xfId="3" applyNumberFormat="1"/>
    <xf numFmtId="171" fontId="4" fillId="0" borderId="0" xfId="3" applyNumberFormat="1"/>
    <xf numFmtId="44" fontId="3" fillId="0" borderId="0" xfId="0" applyNumberFormat="1" applyFont="1"/>
    <xf numFmtId="169" fontId="3" fillId="0" borderId="0" xfId="0" applyNumberFormat="1" applyFont="1"/>
    <xf numFmtId="44" fontId="0" fillId="0" borderId="0" xfId="0" applyNumberFormat="1" applyFont="1"/>
    <xf numFmtId="0" fontId="3" fillId="0" borderId="17" xfId="0" applyFont="1" applyBorder="1" applyAlignment="1">
      <alignment horizontal="left"/>
    </xf>
    <xf numFmtId="0" fontId="3" fillId="0" borderId="17" xfId="0" applyFont="1" applyBorder="1"/>
    <xf numFmtId="169" fontId="3" fillId="0" borderId="17" xfId="0" applyNumberFormat="1" applyFont="1" applyBorder="1"/>
    <xf numFmtId="166" fontId="3" fillId="0" borderId="17" xfId="0" applyNumberFormat="1" applyFont="1" applyBorder="1"/>
    <xf numFmtId="44" fontId="3" fillId="0" borderId="17" xfId="0" applyNumberFormat="1" applyFont="1" applyBorder="1"/>
    <xf numFmtId="3" fontId="0" fillId="0" borderId="0" xfId="0" applyNumberFormat="1" applyFont="1"/>
    <xf numFmtId="175" fontId="3" fillId="0" borderId="0" xfId="0" applyNumberFormat="1" applyFont="1"/>
    <xf numFmtId="175" fontId="3" fillId="0" borderId="17" xfId="0" applyNumberFormat="1" applyFont="1" applyBorder="1"/>
    <xf numFmtId="165" fontId="3" fillId="0" borderId="17" xfId="0" applyNumberFormat="1" applyFont="1" applyBorder="1"/>
    <xf numFmtId="0" fontId="4" fillId="0" borderId="0" xfId="3" applyBorder="1"/>
    <xf numFmtId="0" fontId="4" fillId="0" borderId="0" xfId="3"/>
    <xf numFmtId="0" fontId="23" fillId="0" borderId="0" xfId="3" applyFont="1" applyBorder="1"/>
    <xf numFmtId="0" fontId="31" fillId="0" borderId="0" xfId="3" applyFont="1" applyBorder="1"/>
    <xf numFmtId="0" fontId="37" fillId="0" borderId="0" xfId="3" applyFont="1" applyBorder="1"/>
    <xf numFmtId="0" fontId="4" fillId="0" borderId="17" xfId="3" applyBorder="1"/>
    <xf numFmtId="0" fontId="4" fillId="0" borderId="16" xfId="3" applyBorder="1"/>
    <xf numFmtId="172" fontId="4" fillId="0" borderId="12" xfId="3" applyNumberFormat="1" applyBorder="1"/>
    <xf numFmtId="0" fontId="36" fillId="0" borderId="0" xfId="3" applyFont="1" applyBorder="1"/>
    <xf numFmtId="0" fontId="4" fillId="0" borderId="11" xfId="3" applyBorder="1"/>
    <xf numFmtId="0" fontId="4" fillId="0" borderId="0" xfId="3" applyFill="1" applyBorder="1"/>
    <xf numFmtId="0" fontId="4" fillId="0" borderId="17" xfId="3" applyBorder="1" applyAlignment="1">
      <alignment horizontal="right"/>
    </xf>
    <xf numFmtId="0" fontId="4" fillId="0" borderId="10" xfId="3" applyFont="1" applyBorder="1"/>
    <xf numFmtId="0" fontId="4" fillId="0" borderId="13" xfId="3" applyBorder="1"/>
    <xf numFmtId="172" fontId="4" fillId="0" borderId="13" xfId="3" applyNumberFormat="1" applyBorder="1"/>
    <xf numFmtId="0" fontId="4" fillId="0" borderId="0" xfId="3" applyBorder="1" applyAlignment="1">
      <alignment horizontal="left"/>
    </xf>
    <xf numFmtId="0" fontId="4" fillId="0" borderId="10" xfId="3" applyBorder="1"/>
    <xf numFmtId="10" fontId="4" fillId="0" borderId="13" xfId="3" applyNumberFormat="1" applyBorder="1"/>
    <xf numFmtId="3" fontId="4" fillId="0" borderId="13" xfId="3" applyNumberFormat="1" applyBorder="1"/>
    <xf numFmtId="3" fontId="4" fillId="0" borderId="12" xfId="3" applyNumberFormat="1" applyBorder="1"/>
    <xf numFmtId="3" fontId="4" fillId="0" borderId="13" xfId="3" applyNumberFormat="1" applyFont="1" applyBorder="1"/>
    <xf numFmtId="3" fontId="4" fillId="0" borderId="12" xfId="3" applyNumberFormat="1" applyFont="1" applyBorder="1"/>
    <xf numFmtId="3" fontId="4" fillId="0" borderId="0" xfId="3" applyNumberFormat="1" applyBorder="1"/>
    <xf numFmtId="0" fontId="3" fillId="0" borderId="0" xfId="0" applyFont="1" applyBorder="1" applyAlignment="1">
      <alignment horizontal="left"/>
    </xf>
    <xf numFmtId="0" fontId="3" fillId="0" borderId="0" xfId="0" applyFont="1" applyBorder="1" applyAlignment="1"/>
    <xf numFmtId="3" fontId="0" fillId="0" borderId="0" xfId="0" applyNumberFormat="1"/>
    <xf numFmtId="42" fontId="0" fillId="0" borderId="0" xfId="0" applyNumberFormat="1" applyFill="1"/>
    <xf numFmtId="169" fontId="0" fillId="0" borderId="0" xfId="133" applyNumberFormat="1" applyFont="1" applyFill="1"/>
    <xf numFmtId="42" fontId="39" fillId="0" borderId="0" xfId="133" applyNumberFormat="1" applyFont="1" applyBorder="1"/>
    <xf numFmtId="44" fontId="39" fillId="0" borderId="0" xfId="0" applyNumberFormat="1" applyFont="1" applyBorder="1"/>
    <xf numFmtId="9" fontId="0" fillId="0" borderId="0" xfId="0" applyNumberFormat="1" applyFont="1" applyBorder="1"/>
    <xf numFmtId="0" fontId="27" fillId="0" borderId="17" xfId="0" applyFont="1" applyFill="1" applyBorder="1" applyAlignment="1">
      <alignment vertical="top" wrapText="1"/>
    </xf>
    <xf numFmtId="9" fontId="0" fillId="0" borderId="0" xfId="0" applyNumberFormat="1" applyFill="1"/>
    <xf numFmtId="169" fontId="0" fillId="0" borderId="17" xfId="0" applyNumberFormat="1" applyBorder="1"/>
    <xf numFmtId="42" fontId="39" fillId="0" borderId="0" xfId="0" applyNumberFormat="1" applyFont="1" applyBorder="1"/>
    <xf numFmtId="5" fontId="39" fillId="0" borderId="0" xfId="0" applyNumberFormat="1" applyFont="1" applyBorder="1"/>
    <xf numFmtId="165" fontId="0" fillId="0" borderId="0" xfId="0" applyNumberFormat="1"/>
    <xf numFmtId="0" fontId="3" fillId="0" borderId="0" xfId="0" applyFont="1"/>
    <xf numFmtId="9" fontId="0" fillId="0" borderId="0" xfId="0" applyNumberFormat="1"/>
    <xf numFmtId="0" fontId="0" fillId="0" borderId="0" xfId="0" applyAlignment="1">
      <alignment horizontal="right"/>
    </xf>
    <xf numFmtId="0" fontId="0" fillId="0" borderId="0" xfId="0" applyBorder="1"/>
    <xf numFmtId="0" fontId="0" fillId="0" borderId="0" xfId="0" applyFill="1" applyBorder="1"/>
    <xf numFmtId="3" fontId="0" fillId="0" borderId="0" xfId="0" applyNumberFormat="1"/>
    <xf numFmtId="0" fontId="0" fillId="0" borderId="17" xfId="0" applyBorder="1"/>
    <xf numFmtId="165" fontId="0" fillId="0" borderId="17" xfId="0" applyNumberFormat="1" applyBorder="1"/>
    <xf numFmtId="0" fontId="0" fillId="24" borderId="0" xfId="0" applyFill="1" applyBorder="1"/>
    <xf numFmtId="0" fontId="0" fillId="0" borderId="17" xfId="0" applyFont="1" applyBorder="1"/>
    <xf numFmtId="165" fontId="0" fillId="0" borderId="0" xfId="0" applyNumberFormat="1" applyBorder="1"/>
    <xf numFmtId="165" fontId="0" fillId="0" borderId="0" xfId="0" applyNumberFormat="1" applyFill="1"/>
    <xf numFmtId="0" fontId="4" fillId="0" borderId="0" xfId="3" applyBorder="1"/>
    <xf numFmtId="0" fontId="4" fillId="0" borderId="0" xfId="3"/>
    <xf numFmtId="0" fontId="4" fillId="0" borderId="0" xfId="3" applyFont="1" applyAlignment="1">
      <alignment wrapText="1"/>
    </xf>
    <xf numFmtId="169" fontId="0" fillId="0" borderId="0" xfId="133" applyNumberFormat="1" applyFont="1"/>
    <xf numFmtId="0" fontId="0" fillId="0" borderId="0" xfId="0" applyFill="1" applyBorder="1" applyAlignment="1">
      <alignment horizontal="right"/>
    </xf>
    <xf numFmtId="169" fontId="0" fillId="0" borderId="0" xfId="133" applyNumberFormat="1" applyFont="1" applyFill="1" applyBorder="1"/>
    <xf numFmtId="169" fontId="0" fillId="0" borderId="17" xfId="133" applyNumberFormat="1" applyFont="1" applyFill="1" applyBorder="1"/>
    <xf numFmtId="0" fontId="0" fillId="0" borderId="0" xfId="0" applyBorder="1" applyAlignment="1">
      <alignment vertical="center"/>
    </xf>
    <xf numFmtId="0" fontId="0" fillId="0" borderId="0" xfId="0" applyBorder="1" applyAlignment="1">
      <alignment horizontal="left" vertical="center"/>
    </xf>
    <xf numFmtId="169" fontId="0" fillId="0" borderId="0" xfId="133" applyNumberFormat="1" applyFont="1" applyBorder="1"/>
    <xf numFmtId="169" fontId="0" fillId="0" borderId="20" xfId="133" applyNumberFormat="1" applyFont="1" applyBorder="1"/>
    <xf numFmtId="0" fontId="29" fillId="0" borderId="0" xfId="0" applyNumberFormat="1" applyFont="1" applyFill="1" applyBorder="1" applyAlignment="1" applyProtection="1">
      <alignment horizontal="left" vertical="top" wrapText="1"/>
    </xf>
    <xf numFmtId="169" fontId="29" fillId="0" borderId="0" xfId="133" applyNumberFormat="1" applyFont="1" applyFill="1" applyBorder="1" applyAlignment="1" applyProtection="1">
      <protection locked="0"/>
    </xf>
    <xf numFmtId="0" fontId="0" fillId="0" borderId="0" xfId="0" applyFill="1" applyBorder="1" applyAlignment="1">
      <alignment vertical="center"/>
    </xf>
    <xf numFmtId="0" fontId="0" fillId="0" borderId="0" xfId="0" applyFill="1" applyBorder="1" applyAlignment="1">
      <alignment horizontal="left" vertical="center"/>
    </xf>
    <xf numFmtId="9" fontId="0" fillId="0" borderId="0" xfId="0" applyNumberFormat="1" applyFill="1" applyBorder="1"/>
    <xf numFmtId="0" fontId="28" fillId="0" borderId="17" xfId="0" applyFont="1" applyFill="1" applyBorder="1" applyAlignment="1"/>
    <xf numFmtId="0" fontId="28" fillId="0" borderId="0" xfId="0" applyFont="1" applyBorder="1"/>
    <xf numFmtId="0" fontId="40" fillId="0" borderId="0" xfId="0" applyFont="1" applyFill="1" applyBorder="1" applyAlignment="1">
      <alignment horizontal="center"/>
    </xf>
    <xf numFmtId="0" fontId="28" fillId="27" borderId="18" xfId="0" applyFont="1" applyFill="1" applyBorder="1" applyAlignment="1"/>
    <xf numFmtId="165" fontId="28" fillId="0" borderId="0" xfId="0" applyNumberFormat="1" applyFont="1" applyBorder="1"/>
    <xf numFmtId="0" fontId="28" fillId="27" borderId="15" xfId="0" applyFont="1" applyFill="1" applyBorder="1" applyAlignment="1"/>
    <xf numFmtId="3" fontId="28" fillId="0" borderId="12" xfId="0" applyNumberFormat="1" applyFont="1" applyBorder="1"/>
    <xf numFmtId="9" fontId="23" fillId="0" borderId="12" xfId="2" applyFont="1" applyFill="1" applyBorder="1" applyAlignment="1">
      <alignment horizontal="center"/>
    </xf>
    <xf numFmtId="0" fontId="40" fillId="0" borderId="0" xfId="0" applyFont="1" applyFill="1" applyBorder="1" applyAlignment="1">
      <alignment horizontal="center" wrapText="1"/>
    </xf>
    <xf numFmtId="0" fontId="0" fillId="0" borderId="0" xfId="0"/>
    <xf numFmtId="0" fontId="0" fillId="0" borderId="0" xfId="0" applyFill="1" applyBorder="1"/>
    <xf numFmtId="0" fontId="28" fillId="0" borderId="10" xfId="0" applyFont="1" applyBorder="1"/>
    <xf numFmtId="165" fontId="28" fillId="0" borderId="12" xfId="0" applyNumberFormat="1" applyFont="1" applyBorder="1"/>
    <xf numFmtId="0" fontId="0" fillId="0" borderId="0" xfId="0"/>
    <xf numFmtId="165" fontId="28" fillId="0" borderId="12" xfId="0" applyNumberFormat="1" applyFont="1" applyBorder="1"/>
    <xf numFmtId="0" fontId="0" fillId="0" borderId="0" xfId="0"/>
    <xf numFmtId="0" fontId="0" fillId="0" borderId="12" xfId="0" applyBorder="1"/>
    <xf numFmtId="167" fontId="0" fillId="0" borderId="12" xfId="0" applyNumberFormat="1" applyBorder="1"/>
    <xf numFmtId="0" fontId="28" fillId="0" borderId="10" xfId="0" applyFont="1" applyBorder="1"/>
    <xf numFmtId="166" fontId="28" fillId="0" borderId="12" xfId="0" applyNumberFormat="1" applyFont="1" applyBorder="1"/>
    <xf numFmtId="170" fontId="28" fillId="0" borderId="12" xfId="0" applyNumberFormat="1" applyFont="1" applyBorder="1"/>
    <xf numFmtId="0" fontId="40" fillId="27" borderId="18" xfId="0" applyFont="1" applyFill="1" applyBorder="1" applyAlignment="1">
      <alignment horizontal="center"/>
    </xf>
    <xf numFmtId="0" fontId="40" fillId="27" borderId="12" xfId="0" applyFont="1" applyFill="1" applyBorder="1" applyAlignment="1">
      <alignment horizontal="center"/>
    </xf>
    <xf numFmtId="0" fontId="40" fillId="27" borderId="15" xfId="0" applyFont="1" applyFill="1" applyBorder="1" applyAlignment="1">
      <alignment horizontal="center"/>
    </xf>
    <xf numFmtId="0" fontId="28" fillId="0" borderId="10" xfId="0" applyFont="1" applyBorder="1"/>
    <xf numFmtId="165" fontId="28" fillId="0" borderId="12" xfId="0" applyNumberFormat="1" applyFont="1" applyBorder="1"/>
    <xf numFmtId="0" fontId="28" fillId="0" borderId="10" xfId="0" applyFont="1" applyBorder="1"/>
    <xf numFmtId="165" fontId="28" fillId="0" borderId="12" xfId="0" applyNumberFormat="1" applyFont="1" applyBorder="1"/>
    <xf numFmtId="166" fontId="0" fillId="0" borderId="0" xfId="0" applyNumberFormat="1"/>
    <xf numFmtId="0" fontId="0" fillId="0" borderId="12" xfId="0" applyBorder="1"/>
    <xf numFmtId="166" fontId="28" fillId="0" borderId="12" xfId="0" applyNumberFormat="1" applyFont="1" applyBorder="1"/>
    <xf numFmtId="0" fontId="28" fillId="0" borderId="12" xfId="0" applyFont="1" applyBorder="1"/>
    <xf numFmtId="167" fontId="28" fillId="0" borderId="12" xfId="0" applyNumberFormat="1" applyFont="1" applyBorder="1"/>
    <xf numFmtId="0" fontId="0" fillId="0" borderId="10" xfId="0" applyBorder="1"/>
    <xf numFmtId="0" fontId="0" fillId="0" borderId="13" xfId="0" applyBorder="1"/>
    <xf numFmtId="0" fontId="40" fillId="27" borderId="12" xfId="0" applyFont="1" applyFill="1" applyBorder="1" applyAlignment="1">
      <alignment horizontal="center"/>
    </xf>
    <xf numFmtId="0" fontId="0" fillId="0" borderId="0" xfId="0"/>
    <xf numFmtId="0" fontId="28" fillId="0" borderId="0" xfId="0" applyFont="1" applyFill="1" applyBorder="1"/>
    <xf numFmtId="0" fontId="0" fillId="0" borderId="12" xfId="0" applyBorder="1"/>
    <xf numFmtId="166" fontId="28" fillId="0" borderId="12" xfId="0" applyNumberFormat="1" applyFont="1" applyBorder="1"/>
    <xf numFmtId="0" fontId="28" fillId="0" borderId="12" xfId="0" applyFont="1" applyBorder="1"/>
    <xf numFmtId="167" fontId="28" fillId="0" borderId="12" xfId="0" applyNumberFormat="1" applyFont="1" applyBorder="1"/>
    <xf numFmtId="0" fontId="0" fillId="0" borderId="10" xfId="0" applyBorder="1"/>
    <xf numFmtId="0" fontId="0" fillId="0" borderId="13" xfId="0" applyBorder="1"/>
    <xf numFmtId="0" fontId="40" fillId="27" borderId="18" xfId="0" applyFont="1" applyFill="1" applyBorder="1" applyAlignment="1">
      <alignment horizontal="center"/>
    </xf>
    <xf numFmtId="0" fontId="40" fillId="27" borderId="12" xfId="0" applyFont="1" applyFill="1" applyBorder="1" applyAlignment="1">
      <alignment horizontal="center"/>
    </xf>
    <xf numFmtId="0" fontId="0" fillId="0" borderId="0" xfId="0"/>
    <xf numFmtId="2" fontId="0" fillId="0" borderId="0" xfId="0" applyNumberFormat="1"/>
    <xf numFmtId="0" fontId="23" fillId="0" borderId="12" xfId="55" applyFont="1" applyBorder="1"/>
    <xf numFmtId="0" fontId="4" fillId="0" borderId="12" xfId="55" applyFill="1" applyBorder="1"/>
    <xf numFmtId="9" fontId="4" fillId="0" borderId="12" xfId="2" applyBorder="1"/>
    <xf numFmtId="170" fontId="4" fillId="0" borderId="12" xfId="55" applyNumberFormat="1" applyFill="1" applyBorder="1"/>
    <xf numFmtId="0" fontId="0" fillId="0" borderId="0" xfId="0"/>
    <xf numFmtId="0" fontId="0" fillId="0" borderId="0" xfId="0" applyFill="1"/>
    <xf numFmtId="0" fontId="23" fillId="0" borderId="12" xfId="55" applyFont="1" applyFill="1" applyBorder="1" applyAlignment="1">
      <alignment horizontal="center"/>
    </xf>
    <xf numFmtId="0" fontId="23" fillId="0" borderId="12" xfId="55" applyFont="1" applyBorder="1" applyAlignment="1">
      <alignment horizontal="center"/>
    </xf>
    <xf numFmtId="4" fontId="23" fillId="0" borderId="12" xfId="55" applyNumberFormat="1" applyFont="1" applyBorder="1" applyAlignment="1">
      <alignment horizontal="center"/>
    </xf>
    <xf numFmtId="169" fontId="29" fillId="0" borderId="0" xfId="133" applyNumberFormat="1" applyFont="1" applyFill="1" applyBorder="1"/>
    <xf numFmtId="10" fontId="29" fillId="0" borderId="0" xfId="0" applyNumberFormat="1" applyFont="1" applyFill="1" applyBorder="1"/>
    <xf numFmtId="3" fontId="29" fillId="0" borderId="0" xfId="0" applyNumberFormat="1" applyFont="1" applyFill="1" applyBorder="1"/>
    <xf numFmtId="3" fontId="28" fillId="0" borderId="0" xfId="0" applyNumberFormat="1" applyFont="1" applyBorder="1"/>
    <xf numFmtId="0" fontId="40" fillId="27" borderId="15" xfId="0" applyFont="1" applyFill="1" applyBorder="1" applyAlignment="1">
      <alignment horizontal="center"/>
    </xf>
    <xf numFmtId="0" fontId="0" fillId="0" borderId="0" xfId="0" applyFill="1" applyBorder="1" applyAlignment="1">
      <alignment horizontal="center"/>
    </xf>
    <xf numFmtId="0" fontId="41" fillId="0" borderId="0" xfId="0" applyFont="1" applyBorder="1" applyAlignment="1">
      <alignment vertical="top" wrapText="1"/>
    </xf>
    <xf numFmtId="169" fontId="2" fillId="0" borderId="0" xfId="133" applyNumberFormat="1" applyFont="1" applyFill="1" applyBorder="1"/>
    <xf numFmtId="3" fontId="5" fillId="0" borderId="0" xfId="0" applyNumberFormat="1" applyFont="1" applyFill="1" applyBorder="1" applyAlignment="1">
      <alignment vertical="top" wrapText="1"/>
    </xf>
    <xf numFmtId="0" fontId="5" fillId="0" borderId="0" xfId="0" applyFont="1" applyFill="1" applyBorder="1" applyAlignment="1">
      <alignment vertical="top" wrapText="1"/>
    </xf>
    <xf numFmtId="0" fontId="5" fillId="0" borderId="0" xfId="0" applyFont="1" applyFill="1" applyBorder="1" applyAlignment="1">
      <alignment horizontal="center" vertical="top" wrapText="1"/>
    </xf>
    <xf numFmtId="0" fontId="0" fillId="0" borderId="0" xfId="0" applyFill="1" applyBorder="1" applyAlignment="1">
      <alignment horizontal="center"/>
    </xf>
    <xf numFmtId="0" fontId="5" fillId="0" borderId="0" xfId="0" applyFont="1" applyFill="1" applyBorder="1" applyAlignment="1">
      <alignment horizontal="center" vertical="top" wrapText="1"/>
    </xf>
    <xf numFmtId="42" fontId="30" fillId="0" borderId="0" xfId="0" applyNumberFormat="1" applyFont="1"/>
    <xf numFmtId="1" fontId="30" fillId="0" borderId="0" xfId="0" applyNumberFormat="1" applyFont="1" applyAlignment="1">
      <alignment horizontal="center"/>
    </xf>
    <xf numFmtId="42" fontId="30" fillId="0" borderId="0" xfId="0" applyNumberFormat="1" applyFont="1" applyFill="1"/>
    <xf numFmtId="167" fontId="30" fillId="0" borderId="0" xfId="0" applyNumberFormat="1" applyFont="1" applyFill="1"/>
    <xf numFmtId="0" fontId="5" fillId="0" borderId="0" xfId="0" applyFont="1" applyFill="1" applyBorder="1" applyAlignment="1">
      <alignment horizontal="right" vertical="top" wrapText="1"/>
    </xf>
    <xf numFmtId="0" fontId="27" fillId="0" borderId="17" xfId="0" applyFont="1" applyBorder="1" applyAlignment="1">
      <alignment vertical="top" wrapText="1"/>
    </xf>
    <xf numFmtId="3" fontId="0" fillId="0" borderId="17" xfId="0" applyNumberFormat="1" applyFill="1" applyBorder="1"/>
    <xf numFmtId="0" fontId="40" fillId="27" borderId="12" xfId="0" applyFont="1" applyFill="1" applyBorder="1" applyAlignment="1">
      <alignment horizontal="right"/>
    </xf>
    <xf numFmtId="0" fontId="40" fillId="27" borderId="10" xfId="0" applyFont="1" applyFill="1" applyBorder="1" applyAlignment="1">
      <alignment horizontal="right"/>
    </xf>
    <xf numFmtId="0" fontId="40" fillId="27" borderId="10" xfId="0" applyFont="1" applyFill="1" applyBorder="1" applyAlignment="1">
      <alignment horizontal="right" wrapText="1"/>
    </xf>
    <xf numFmtId="0" fontId="3" fillId="0" borderId="0" xfId="0" applyNumberFormat="1" applyFont="1" applyFill="1" applyBorder="1" applyAlignment="1" applyProtection="1"/>
    <xf numFmtId="42" fontId="0" fillId="0" borderId="17" xfId="133" applyNumberFormat="1" applyFont="1" applyFill="1" applyBorder="1"/>
    <xf numFmtId="173" fontId="0" fillId="0" borderId="0" xfId="133" applyNumberFormat="1" applyFont="1" applyFill="1" applyBorder="1"/>
    <xf numFmtId="0" fontId="0" fillId="0" borderId="0" xfId="0" applyNumberFormat="1" applyBorder="1"/>
    <xf numFmtId="0" fontId="3" fillId="0" borderId="0" xfId="0" applyFont="1" applyFill="1" applyBorder="1"/>
    <xf numFmtId="165" fontId="0" fillId="0" borderId="0" xfId="133" applyNumberFormat="1" applyFont="1" applyFill="1"/>
    <xf numFmtId="0" fontId="0" fillId="0" borderId="0" xfId="0"/>
    <xf numFmtId="0" fontId="0" fillId="0" borderId="17" xfId="0" applyBorder="1"/>
    <xf numFmtId="0" fontId="0" fillId="0" borderId="0" xfId="0" applyFill="1"/>
    <xf numFmtId="165" fontId="0" fillId="0" borderId="0" xfId="0" applyNumberFormat="1"/>
    <xf numFmtId="165" fontId="0" fillId="0" borderId="17" xfId="0" applyNumberFormat="1" applyBorder="1"/>
    <xf numFmtId="0" fontId="0" fillId="0" borderId="0" xfId="0" applyFont="1" applyFill="1" applyBorder="1"/>
    <xf numFmtId="165" fontId="0" fillId="0" borderId="0" xfId="0" applyNumberFormat="1" applyFill="1"/>
    <xf numFmtId="0" fontId="0" fillId="0" borderId="0" xfId="0"/>
    <xf numFmtId="0" fontId="0" fillId="0" borderId="0" xfId="0" applyFill="1"/>
    <xf numFmtId="0" fontId="42" fillId="0" borderId="0" xfId="0" applyFont="1"/>
    <xf numFmtId="0" fontId="3" fillId="0" borderId="0" xfId="0" applyFont="1"/>
    <xf numFmtId="42" fontId="0" fillId="0" borderId="0" xfId="0" applyNumberFormat="1" applyFill="1"/>
    <xf numFmtId="0" fontId="0" fillId="0" borderId="0" xfId="0"/>
    <xf numFmtId="0" fontId="0" fillId="0" borderId="0" xfId="0"/>
    <xf numFmtId="0" fontId="0" fillId="0" borderId="0" xfId="0"/>
    <xf numFmtId="0" fontId="3" fillId="0" borderId="0" xfId="0" applyFont="1"/>
    <xf numFmtId="0" fontId="0" fillId="0" borderId="0" xfId="0"/>
    <xf numFmtId="42" fontId="0" fillId="0" borderId="0" xfId="0" applyNumberFormat="1"/>
    <xf numFmtId="0" fontId="0" fillId="0" borderId="0" xfId="0"/>
    <xf numFmtId="42" fontId="0" fillId="0" borderId="0" xfId="0" applyNumberFormat="1" applyFill="1"/>
    <xf numFmtId="42" fontId="0" fillId="0" borderId="0" xfId="0" applyNumberFormat="1"/>
    <xf numFmtId="0" fontId="3" fillId="0" borderId="0" xfId="0" applyFont="1"/>
    <xf numFmtId="167" fontId="0" fillId="0" borderId="0" xfId="0" applyNumberFormat="1"/>
    <xf numFmtId="0" fontId="0" fillId="0" borderId="0" xfId="0"/>
    <xf numFmtId="42" fontId="0" fillId="0" borderId="0" xfId="0" applyNumberFormat="1" applyFill="1"/>
    <xf numFmtId="42" fontId="0" fillId="0" borderId="0" xfId="0" applyNumberFormat="1"/>
    <xf numFmtId="0" fontId="3" fillId="0" borderId="0" xfId="0" applyFont="1"/>
    <xf numFmtId="167" fontId="0" fillId="0" borderId="0" xfId="0" applyNumberFormat="1"/>
    <xf numFmtId="0" fontId="0" fillId="0" borderId="0" xfId="0"/>
    <xf numFmtId="0" fontId="0" fillId="0" borderId="0" xfId="0" applyFont="1"/>
    <xf numFmtId="0" fontId="0" fillId="0" borderId="0" xfId="0"/>
    <xf numFmtId="0" fontId="0" fillId="0" borderId="0" xfId="0"/>
    <xf numFmtId="9" fontId="29" fillId="0" borderId="0" xfId="0" applyNumberFormat="1" applyFont="1"/>
    <xf numFmtId="165" fontId="29" fillId="0" borderId="0" xfId="0" applyNumberFormat="1" applyFont="1" applyFill="1"/>
    <xf numFmtId="0" fontId="29" fillId="0" borderId="17" xfId="0" applyFont="1" applyBorder="1"/>
    <xf numFmtId="168" fontId="29" fillId="0" borderId="0" xfId="0" applyNumberFormat="1" applyFont="1"/>
    <xf numFmtId="165" fontId="28" fillId="0" borderId="0" xfId="0" applyNumberFormat="1" applyFont="1" applyFill="1" applyBorder="1"/>
    <xf numFmtId="170" fontId="28" fillId="0" borderId="0" xfId="0" applyNumberFormat="1" applyFont="1" applyFill="1" applyBorder="1" applyAlignment="1">
      <alignment horizontal="right"/>
    </xf>
    <xf numFmtId="165" fontId="29" fillId="0" borderId="17" xfId="0" applyNumberFormat="1" applyFont="1" applyBorder="1"/>
    <xf numFmtId="0" fontId="24" fillId="0" borderId="0" xfId="0" applyFont="1" applyFill="1" applyBorder="1" applyAlignment="1">
      <alignment horizontal="right"/>
    </xf>
    <xf numFmtId="1" fontId="29" fillId="0" borderId="0" xfId="0" applyNumberFormat="1" applyFont="1" applyBorder="1"/>
    <xf numFmtId="3" fontId="4" fillId="0" borderId="0" xfId="0" applyNumberFormat="1" applyFont="1" applyFill="1" applyBorder="1" applyAlignment="1">
      <alignment horizontal="right"/>
    </xf>
    <xf numFmtId="0" fontId="29" fillId="0" borderId="0" xfId="0" applyFont="1" applyAlignment="1">
      <alignment horizontal="right"/>
    </xf>
    <xf numFmtId="167" fontId="28" fillId="0" borderId="0" xfId="0" applyNumberFormat="1" applyFont="1" applyFill="1" applyBorder="1" applyAlignment="1">
      <alignment horizontal="right"/>
    </xf>
    <xf numFmtId="0" fontId="28" fillId="0" borderId="0" xfId="0" applyFont="1" applyFill="1" applyBorder="1" applyAlignment="1">
      <alignment horizontal="right"/>
    </xf>
    <xf numFmtId="0" fontId="22" fillId="0" borderId="0" xfId="0" applyFont="1"/>
    <xf numFmtId="3" fontId="40" fillId="0" borderId="0" xfId="0" applyNumberFormat="1" applyFont="1" applyFill="1" applyBorder="1"/>
    <xf numFmtId="0" fontId="29" fillId="0" borderId="0" xfId="0" applyFont="1" applyAlignment="1">
      <alignment horizontal="left"/>
    </xf>
    <xf numFmtId="0" fontId="40" fillId="0" borderId="0" xfId="0" applyFont="1" applyFill="1" applyBorder="1"/>
    <xf numFmtId="0" fontId="0" fillId="0" borderId="0" xfId="0" applyFill="1" applyBorder="1" applyAlignment="1"/>
    <xf numFmtId="165" fontId="29" fillId="0" borderId="0" xfId="0" applyNumberFormat="1" applyFont="1" applyBorder="1"/>
    <xf numFmtId="166" fontId="4" fillId="0" borderId="0" xfId="3" applyNumberFormat="1" applyFont="1" applyFill="1" applyBorder="1"/>
    <xf numFmtId="0" fontId="29" fillId="0" borderId="0" xfId="0" applyFont="1" applyBorder="1"/>
    <xf numFmtId="0" fontId="29" fillId="0" borderId="0" xfId="0" applyFont="1" applyFill="1"/>
    <xf numFmtId="168" fontId="29" fillId="0" borderId="0" xfId="0" applyNumberFormat="1" applyFont="1" applyAlignment="1">
      <alignment horizontal="right"/>
    </xf>
    <xf numFmtId="165" fontId="29" fillId="0" borderId="0" xfId="0" applyNumberFormat="1" applyFont="1"/>
    <xf numFmtId="42" fontId="3" fillId="0" borderId="0" xfId="0" applyNumberFormat="1" applyFont="1" applyFill="1"/>
    <xf numFmtId="169" fontId="0" fillId="0" borderId="0" xfId="0" applyNumberFormat="1"/>
    <xf numFmtId="42" fontId="3" fillId="0" borderId="0" xfId="0" applyNumberFormat="1" applyFont="1"/>
    <xf numFmtId="0" fontId="4" fillId="0" borderId="0" xfId="3" applyBorder="1"/>
    <xf numFmtId="0" fontId="4" fillId="0" borderId="0" xfId="3"/>
    <xf numFmtId="0" fontId="4" fillId="0" borderId="0" xfId="3" applyBorder="1" applyAlignment="1">
      <alignment horizontal="left"/>
    </xf>
    <xf numFmtId="0" fontId="4" fillId="0" borderId="0" xfId="3" applyFill="1" applyBorder="1" applyAlignment="1">
      <alignment horizontal="left"/>
    </xf>
    <xf numFmtId="0" fontId="35" fillId="0" borderId="0" xfId="3" applyFont="1" applyBorder="1"/>
    <xf numFmtId="3" fontId="4" fillId="0" borderId="0" xfId="3" applyNumberFormat="1" applyBorder="1"/>
    <xf numFmtId="165" fontId="3" fillId="0" borderId="17" xfId="0" applyNumberFormat="1" applyFont="1" applyBorder="1"/>
    <xf numFmtId="0" fontId="37" fillId="0" borderId="0" xfId="3" applyFont="1" applyBorder="1"/>
    <xf numFmtId="0" fontId="36" fillId="0" borderId="0" xfId="3" applyFont="1" applyBorder="1"/>
    <xf numFmtId="0" fontId="0" fillId="0" borderId="0" xfId="0" applyFill="1" applyBorder="1" applyAlignment="1">
      <alignment horizontal="right"/>
    </xf>
    <xf numFmtId="169" fontId="0" fillId="0" borderId="0" xfId="133" applyNumberFormat="1" applyFont="1" applyFill="1" applyBorder="1"/>
    <xf numFmtId="0" fontId="40" fillId="0" borderId="0" xfId="0" applyFont="1" applyFill="1" applyBorder="1" applyAlignment="1">
      <alignment horizontal="center"/>
    </xf>
    <xf numFmtId="3" fontId="5" fillId="0" borderId="0" xfId="0" applyNumberFormat="1" applyFont="1" applyFill="1" applyBorder="1" applyAlignment="1">
      <alignment vertical="top" wrapText="1"/>
    </xf>
    <xf numFmtId="0" fontId="24" fillId="0" borderId="0" xfId="0" applyFont="1" applyFill="1" applyBorder="1"/>
    <xf numFmtId="0" fontId="4" fillId="0" borderId="0" xfId="0" applyFont="1" applyFill="1" applyBorder="1" applyAlignment="1">
      <alignment horizontal="right"/>
    </xf>
    <xf numFmtId="0" fontId="44" fillId="0" borderId="0" xfId="0" applyFont="1" applyBorder="1"/>
    <xf numFmtId="168" fontId="29" fillId="0" borderId="0" xfId="0" applyNumberFormat="1" applyFont="1" applyBorder="1"/>
    <xf numFmtId="0" fontId="29" fillId="0" borderId="0" xfId="0" applyFont="1"/>
    <xf numFmtId="0" fontId="29" fillId="0" borderId="0" xfId="0" applyFont="1"/>
    <xf numFmtId="9" fontId="28" fillId="0" borderId="0" xfId="0" applyNumberFormat="1" applyFont="1" applyFill="1" applyBorder="1"/>
    <xf numFmtId="166" fontId="4" fillId="0" borderId="0" xfId="3" applyNumberFormat="1" applyFont="1" applyFill="1" applyBorder="1" applyAlignment="1">
      <alignment horizontal="right"/>
    </xf>
    <xf numFmtId="3" fontId="40" fillId="0" borderId="0" xfId="0" applyNumberFormat="1" applyFont="1" applyFill="1" applyBorder="1" applyAlignment="1">
      <alignment horizontal="right"/>
    </xf>
    <xf numFmtId="0" fontId="0" fillId="0" borderId="0" xfId="0"/>
    <xf numFmtId="42" fontId="0" fillId="0" borderId="0" xfId="0" applyNumberFormat="1" applyFill="1"/>
    <xf numFmtId="42" fontId="0" fillId="0" borderId="0" xfId="0" applyNumberFormat="1"/>
    <xf numFmtId="0" fontId="29" fillId="0" borderId="0" xfId="0" applyFont="1"/>
    <xf numFmtId="0" fontId="3" fillId="0" borderId="0" xfId="0" applyFont="1"/>
    <xf numFmtId="9" fontId="0" fillId="0" borderId="0" xfId="0" applyNumberFormat="1"/>
    <xf numFmtId="0" fontId="0" fillId="0" borderId="0" xfId="0" applyBorder="1"/>
    <xf numFmtId="0" fontId="0" fillId="0" borderId="0" xfId="0" applyFont="1" applyBorder="1"/>
    <xf numFmtId="0" fontId="0" fillId="0" borderId="0" xfId="0" applyFont="1" applyFill="1" applyBorder="1"/>
    <xf numFmtId="0" fontId="0" fillId="0" borderId="0" xfId="0" applyFont="1" applyBorder="1" applyAlignment="1">
      <alignment horizontal="left"/>
    </xf>
    <xf numFmtId="0" fontId="27" fillId="0" borderId="0" xfId="0" applyFont="1" applyBorder="1" applyAlignment="1">
      <alignment vertical="top" wrapText="1"/>
    </xf>
    <xf numFmtId="0" fontId="27" fillId="0" borderId="0" xfId="0" applyFont="1" applyBorder="1" applyAlignment="1">
      <alignment vertical="top"/>
    </xf>
    <xf numFmtId="1" fontId="40" fillId="0" borderId="0" xfId="0" applyNumberFormat="1" applyFont="1" applyFill="1" applyBorder="1"/>
    <xf numFmtId="167" fontId="28" fillId="0" borderId="0" xfId="0" applyNumberFormat="1" applyFont="1" applyFill="1" applyBorder="1"/>
    <xf numFmtId="170" fontId="28" fillId="0" borderId="0" xfId="0" applyNumberFormat="1" applyFont="1" applyFill="1" applyBorder="1"/>
    <xf numFmtId="0" fontId="3" fillId="0" borderId="0" xfId="0" applyFont="1" applyFill="1" applyBorder="1" applyAlignment="1">
      <alignment horizontal="right" wrapText="1"/>
    </xf>
    <xf numFmtId="0" fontId="0" fillId="0" borderId="0" xfId="0"/>
    <xf numFmtId="0" fontId="0" fillId="0" borderId="0" xfId="0" applyAlignment="1">
      <alignment horizontal="left"/>
    </xf>
    <xf numFmtId="0" fontId="3" fillId="0" borderId="0" xfId="0" applyFont="1"/>
    <xf numFmtId="0" fontId="0" fillId="0" borderId="0" xfId="0" applyFill="1" applyBorder="1"/>
    <xf numFmtId="0" fontId="0" fillId="0" borderId="0" xfId="0"/>
    <xf numFmtId="166" fontId="0" fillId="0" borderId="0" xfId="0" applyNumberFormat="1"/>
    <xf numFmtId="168" fontId="0" fillId="0" borderId="0" xfId="0" applyNumberFormat="1"/>
    <xf numFmtId="0" fontId="0" fillId="0" borderId="0" xfId="0" applyAlignment="1">
      <alignment horizontal="right"/>
    </xf>
    <xf numFmtId="165" fontId="0" fillId="0" borderId="0" xfId="0" applyNumberFormat="1" applyFill="1"/>
    <xf numFmtId="42" fontId="0" fillId="0" borderId="0" xfId="0" applyNumberFormat="1"/>
    <xf numFmtId="0" fontId="4" fillId="0" borderId="0" xfId="3"/>
    <xf numFmtId="0" fontId="40" fillId="0" borderId="0" xfId="0" applyFont="1" applyFill="1" applyBorder="1" applyAlignment="1">
      <alignment horizontal="right"/>
    </xf>
    <xf numFmtId="0" fontId="0" fillId="0" borderId="0" xfId="0" applyFill="1" applyBorder="1"/>
    <xf numFmtId="0" fontId="28" fillId="0" borderId="0" xfId="0" applyFont="1" applyFill="1" applyBorder="1"/>
    <xf numFmtId="165" fontId="0" fillId="0" borderId="0" xfId="0" applyNumberFormat="1"/>
    <xf numFmtId="168" fontId="0" fillId="0" borderId="0" xfId="0" applyNumberFormat="1" applyFill="1" applyBorder="1"/>
    <xf numFmtId="0" fontId="0" fillId="0" borderId="0" xfId="0"/>
    <xf numFmtId="0" fontId="3" fillId="0" borderId="0" xfId="0" applyFont="1"/>
    <xf numFmtId="169" fontId="0" fillId="0" borderId="0" xfId="0" applyNumberFormat="1"/>
    <xf numFmtId="169" fontId="0" fillId="0" borderId="0" xfId="133" applyNumberFormat="1" applyFont="1"/>
    <xf numFmtId="0" fontId="0" fillId="0" borderId="0" xfId="0" applyFont="1" applyFill="1" applyBorder="1"/>
    <xf numFmtId="0" fontId="0" fillId="0" borderId="0" xfId="0" applyFill="1"/>
    <xf numFmtId="165" fontId="0" fillId="0" borderId="0" xfId="0" applyNumberFormat="1"/>
    <xf numFmtId="0" fontId="0" fillId="0" borderId="0" xfId="0" applyFont="1"/>
    <xf numFmtId="0" fontId="0" fillId="0" borderId="0" xfId="0" applyFont="1" applyBorder="1"/>
    <xf numFmtId="0" fontId="0" fillId="0" borderId="0" xfId="0" applyAlignment="1">
      <alignment horizontal="right"/>
    </xf>
    <xf numFmtId="42" fontId="0" fillId="0" borderId="0" xfId="0" applyNumberFormat="1"/>
    <xf numFmtId="0" fontId="29" fillId="0" borderId="0" xfId="0" applyFont="1"/>
    <xf numFmtId="0" fontId="0" fillId="0" borderId="0" xfId="0" applyFill="1" applyAlignment="1">
      <alignment horizontal="left"/>
    </xf>
    <xf numFmtId="165" fontId="29" fillId="0" borderId="0" xfId="0" applyNumberFormat="1" applyFont="1" applyFill="1" applyBorder="1"/>
    <xf numFmtId="176" fontId="4" fillId="0" borderId="0" xfId="3" applyNumberFormat="1"/>
    <xf numFmtId="2" fontId="0" fillId="0" borderId="0" xfId="0" applyNumberFormat="1" applyFill="1" applyBorder="1" applyAlignment="1" applyProtection="1"/>
    <xf numFmtId="0" fontId="44" fillId="0" borderId="0" xfId="0" applyFont="1" applyFill="1" applyBorder="1" applyAlignment="1">
      <alignment horizontal="center"/>
    </xf>
    <xf numFmtId="0" fontId="0" fillId="0" borderId="0" xfId="0" applyNumberFormat="1" applyFill="1" applyBorder="1" applyAlignment="1" applyProtection="1">
      <alignment horizontal="center"/>
    </xf>
    <xf numFmtId="3" fontId="3" fillId="0" borderId="0" xfId="0" applyNumberFormat="1" applyFont="1" applyFill="1" applyBorder="1"/>
    <xf numFmtId="3" fontId="23" fillId="0" borderId="0" xfId="0" applyNumberFormat="1" applyFont="1" applyFill="1" applyBorder="1" applyAlignment="1" applyProtection="1">
      <alignment horizontal="right"/>
    </xf>
    <xf numFmtId="3" fontId="23" fillId="0" borderId="0" xfId="133" applyNumberFormat="1" applyFont="1" applyFill="1" applyBorder="1" applyAlignment="1" applyProtection="1">
      <alignment horizontal="right"/>
    </xf>
    <xf numFmtId="0" fontId="45" fillId="0" borderId="0" xfId="0" applyFont="1" applyFill="1" applyBorder="1"/>
    <xf numFmtId="3" fontId="43" fillId="0" borderId="0" xfId="0" applyNumberFormat="1" applyFont="1" applyFill="1" applyBorder="1" applyAlignment="1">
      <alignment horizontal="center"/>
    </xf>
    <xf numFmtId="0" fontId="44" fillId="0" borderId="0" xfId="0" applyFont="1" applyFill="1" applyBorder="1"/>
    <xf numFmtId="0" fontId="29" fillId="0" borderId="0" xfId="0" applyFont="1" applyFill="1" applyBorder="1"/>
    <xf numFmtId="41" fontId="0" fillId="0" borderId="0" xfId="0" applyNumberFormat="1" applyBorder="1"/>
    <xf numFmtId="0" fontId="22" fillId="0" borderId="0" xfId="0" applyFont="1" applyFill="1"/>
    <xf numFmtId="0" fontId="0" fillId="0" borderId="0" xfId="0"/>
    <xf numFmtId="0" fontId="0" fillId="0" borderId="0" xfId="0" applyBorder="1"/>
    <xf numFmtId="0" fontId="3" fillId="0" borderId="0" xfId="0" applyFont="1"/>
    <xf numFmtId="1" fontId="0" fillId="0" borderId="0" xfId="0" applyNumberFormat="1" applyAlignment="1">
      <alignment horizontal="center"/>
    </xf>
    <xf numFmtId="0" fontId="4" fillId="0" borderId="0" xfId="3"/>
    <xf numFmtId="0" fontId="4" fillId="0" borderId="0" xfId="3" applyBorder="1"/>
    <xf numFmtId="0" fontId="36" fillId="0" borderId="0" xfId="3" applyFont="1" applyBorder="1"/>
    <xf numFmtId="0" fontId="4" fillId="0" borderId="0" xfId="3" applyFill="1" applyBorder="1" applyAlignment="1">
      <alignment horizontal="left"/>
    </xf>
    <xf numFmtId="0" fontId="4" fillId="0" borderId="0" xfId="3" applyBorder="1" applyAlignment="1">
      <alignment horizontal="left"/>
    </xf>
    <xf numFmtId="165" fontId="0" fillId="0" borderId="0" xfId="0" applyNumberFormat="1" applyBorder="1"/>
    <xf numFmtId="0" fontId="0" fillId="0" borderId="0" xfId="0" applyFill="1"/>
    <xf numFmtId="3" fontId="0" fillId="0" borderId="0" xfId="0" applyNumberFormat="1"/>
    <xf numFmtId="165" fontId="0" fillId="0" borderId="0" xfId="0" applyNumberFormat="1"/>
    <xf numFmtId="0" fontId="4" fillId="0" borderId="0" xfId="3"/>
    <xf numFmtId="0" fontId="4" fillId="0" borderId="0" xfId="3" applyBorder="1"/>
    <xf numFmtId="0" fontId="4" fillId="0" borderId="0" xfId="3" applyFill="1" applyBorder="1"/>
    <xf numFmtId="0" fontId="37" fillId="0" borderId="0" xfId="3" applyFont="1" applyBorder="1"/>
    <xf numFmtId="10" fontId="4" fillId="0" borderId="0" xfId="3" applyNumberFormat="1" applyFill="1" applyBorder="1"/>
    <xf numFmtId="9" fontId="4" fillId="0" borderId="0" xfId="3" applyNumberFormat="1" applyFill="1" applyBorder="1"/>
    <xf numFmtId="166" fontId="4" fillId="0" borderId="0" xfId="3" applyNumberFormat="1" applyFill="1" applyBorder="1"/>
    <xf numFmtId="3" fontId="4" fillId="0" borderId="0" xfId="3" applyNumberFormat="1" applyBorder="1"/>
    <xf numFmtId="0" fontId="4" fillId="0" borderId="0" xfId="3"/>
    <xf numFmtId="0" fontId="4" fillId="0" borderId="0" xfId="3" applyBorder="1"/>
    <xf numFmtId="0" fontId="4" fillId="0" borderId="0" xfId="3" applyFill="1" applyBorder="1"/>
    <xf numFmtId="0" fontId="36" fillId="0" borderId="0" xfId="3" applyFont="1" applyBorder="1"/>
    <xf numFmtId="0" fontId="23" fillId="0" borderId="0" xfId="0" applyNumberFormat="1" applyFont="1" applyFill="1" applyBorder="1" applyAlignment="1" applyProtection="1"/>
    <xf numFmtId="44" fontId="0" fillId="0" borderId="0" xfId="133" applyFont="1" applyFill="1" applyBorder="1" applyProtection="1"/>
    <xf numFmtId="2" fontId="0" fillId="0" borderId="0" xfId="0" applyNumberFormat="1" applyFill="1" applyBorder="1" applyAlignment="1" applyProtection="1">
      <protection locked="0"/>
    </xf>
    <xf numFmtId="3" fontId="0" fillId="0" borderId="0" xfId="133" applyNumberFormat="1" applyFont="1" applyFill="1" applyBorder="1" applyAlignment="1" applyProtection="1">
      <alignment horizontal="right"/>
    </xf>
    <xf numFmtId="0" fontId="0" fillId="0" borderId="0" xfId="0" applyNumberFormat="1" applyFill="1" applyBorder="1" applyAlignment="1" applyProtection="1">
      <alignment horizontal="center"/>
      <protection locked="0"/>
    </xf>
    <xf numFmtId="0" fontId="0" fillId="0" borderId="0" xfId="0" applyNumberFormat="1" applyFill="1" applyBorder="1" applyAlignment="1" applyProtection="1"/>
    <xf numFmtId="0" fontId="26" fillId="0" borderId="0" xfId="0" applyNumberFormat="1" applyFont="1" applyFill="1" applyBorder="1" applyAlignment="1" applyProtection="1">
      <alignment horizontal="right"/>
    </xf>
    <xf numFmtId="1" fontId="0" fillId="0" borderId="0" xfId="0" applyNumberFormat="1"/>
    <xf numFmtId="0" fontId="0" fillId="0" borderId="0" xfId="0" applyFill="1" applyBorder="1"/>
    <xf numFmtId="0" fontId="3" fillId="0" borderId="0" xfId="0" applyFont="1" applyFill="1" applyBorder="1"/>
    <xf numFmtId="42" fontId="0" fillId="0" borderId="0" xfId="0" applyNumberFormat="1" applyFill="1" applyBorder="1"/>
    <xf numFmtId="44" fontId="0" fillId="0" borderId="0" xfId="0" applyNumberFormat="1" applyFill="1" applyBorder="1"/>
    <xf numFmtId="165" fontId="0" fillId="0" borderId="0" xfId="0" applyNumberFormat="1"/>
    <xf numFmtId="0" fontId="27" fillId="0" borderId="0" xfId="0" applyFont="1" applyFill="1" applyBorder="1" applyAlignment="1">
      <alignment vertical="top"/>
    </xf>
    <xf numFmtId="0" fontId="4" fillId="0" borderId="0" xfId="3" applyBorder="1"/>
    <xf numFmtId="0" fontId="35" fillId="0" borderId="0" xfId="3" applyFont="1"/>
    <xf numFmtId="0" fontId="4" fillId="0" borderId="0" xfId="3" applyFill="1" applyBorder="1" applyAlignment="1">
      <alignment horizontal="left"/>
    </xf>
    <xf numFmtId="0" fontId="4" fillId="0" borderId="0" xfId="3" applyFont="1" applyFill="1" applyBorder="1"/>
    <xf numFmtId="0" fontId="38" fillId="0" borderId="0" xfId="3" applyFont="1" applyBorder="1"/>
    <xf numFmtId="0" fontId="23" fillId="0" borderId="0" xfId="3" applyFont="1" applyFill="1"/>
    <xf numFmtId="0" fontId="4" fillId="0" borderId="0" xfId="3" applyFill="1"/>
    <xf numFmtId="165" fontId="4" fillId="0" borderId="0" xfId="3" applyNumberFormat="1" applyBorder="1"/>
    <xf numFmtId="1" fontId="4" fillId="0" borderId="0" xfId="3" applyNumberFormat="1"/>
    <xf numFmtId="166" fontId="4" fillId="0" borderId="0" xfId="3" applyNumberFormat="1" applyFill="1" applyBorder="1"/>
    <xf numFmtId="0" fontId="0" fillId="0" borderId="0" xfId="0" applyFill="1" applyBorder="1"/>
    <xf numFmtId="42" fontId="0" fillId="0" borderId="0" xfId="0" applyNumberFormat="1" applyFill="1" applyBorder="1"/>
    <xf numFmtId="172" fontId="4" fillId="0" borderId="0" xfId="3" applyNumberFormat="1" applyFill="1" applyBorder="1"/>
    <xf numFmtId="0" fontId="0" fillId="0" borderId="0" xfId="0"/>
    <xf numFmtId="0" fontId="0" fillId="0" borderId="0" xfId="0" applyBorder="1"/>
    <xf numFmtId="0" fontId="0" fillId="0" borderId="0" xfId="0" applyFill="1"/>
    <xf numFmtId="0" fontId="0" fillId="0" borderId="0" xfId="0" applyFill="1" applyBorder="1"/>
    <xf numFmtId="0" fontId="0" fillId="0" borderId="0" xfId="0" applyFont="1" applyBorder="1"/>
    <xf numFmtId="0" fontId="35" fillId="0" borderId="0" xfId="3" applyFont="1" applyFill="1" applyBorder="1"/>
    <xf numFmtId="167" fontId="4" fillId="26" borderId="12" xfId="3" applyNumberFormat="1" applyFill="1" applyBorder="1"/>
    <xf numFmtId="0" fontId="35" fillId="0" borderId="0" xfId="3" applyFont="1" applyFill="1"/>
    <xf numFmtId="2" fontId="23" fillId="0" borderId="0" xfId="55" applyNumberFormat="1" applyFont="1"/>
    <xf numFmtId="0" fontId="4" fillId="0" borderId="0" xfId="3" applyFill="1" applyBorder="1" applyAlignment="1">
      <alignment horizontal="right"/>
    </xf>
    <xf numFmtId="0" fontId="4" fillId="0" borderId="0" xfId="3"/>
    <xf numFmtId="0" fontId="4" fillId="0" borderId="0" xfId="3" applyFill="1" applyBorder="1"/>
    <xf numFmtId="167" fontId="4" fillId="0" borderId="0" xfId="3" applyNumberFormat="1" applyBorder="1"/>
    <xf numFmtId="1" fontId="4" fillId="0" borderId="0" xfId="55" applyNumberFormat="1" applyFont="1" applyFill="1" applyBorder="1"/>
    <xf numFmtId="0" fontId="4" fillId="0" borderId="0" xfId="3"/>
    <xf numFmtId="0" fontId="4" fillId="0" borderId="0" xfId="3" applyBorder="1"/>
    <xf numFmtId="0" fontId="4" fillId="0" borderId="0" xfId="3" applyFont="1" applyBorder="1"/>
    <xf numFmtId="0" fontId="23" fillId="0" borderId="0" xfId="3" applyFont="1" applyBorder="1"/>
    <xf numFmtId="0" fontId="4" fillId="0" borderId="0" xfId="3" applyFill="1" applyBorder="1"/>
    <xf numFmtId="0" fontId="4" fillId="0" borderId="0" xfId="3" applyFont="1"/>
    <xf numFmtId="0" fontId="4" fillId="0" borderId="11" xfId="3" applyBorder="1"/>
    <xf numFmtId="0" fontId="4" fillId="0" borderId="0" xfId="3" applyFont="1" applyFill="1" applyBorder="1"/>
    <xf numFmtId="2" fontId="4" fillId="0" borderId="0" xfId="3" applyNumberFormat="1" applyBorder="1"/>
    <xf numFmtId="0" fontId="4" fillId="0" borderId="11" xfId="3" applyFill="1" applyBorder="1"/>
    <xf numFmtId="0" fontId="4" fillId="0" borderId="0" xfId="3" applyBorder="1" applyAlignment="1">
      <alignment horizontal="left"/>
    </xf>
    <xf numFmtId="167" fontId="4" fillId="0" borderId="0" xfId="3" applyNumberFormat="1" applyBorder="1"/>
    <xf numFmtId="167" fontId="4" fillId="0" borderId="0" xfId="55" applyNumberFormat="1" applyFill="1" applyBorder="1"/>
    <xf numFmtId="0" fontId="4" fillId="0" borderId="0" xfId="55" applyFont="1" applyBorder="1"/>
    <xf numFmtId="0" fontId="0" fillId="0" borderId="0" xfId="0" applyAlignment="1">
      <alignment horizontal="center"/>
    </xf>
    <xf numFmtId="1" fontId="0" fillId="0" borderId="0" xfId="0" applyNumberFormat="1" applyAlignment="1">
      <alignment horizontal="right"/>
    </xf>
    <xf numFmtId="3" fontId="0" fillId="0" borderId="0" xfId="0" applyNumberFormat="1" applyAlignment="1">
      <alignment horizontal="right"/>
    </xf>
    <xf numFmtId="177" fontId="0" fillId="0" borderId="0" xfId="133" applyNumberFormat="1" applyFont="1"/>
    <xf numFmtId="169" fontId="0" fillId="0" borderId="0" xfId="133" applyNumberFormat="1" applyFont="1" applyAlignment="1">
      <alignment horizontal="right"/>
    </xf>
    <xf numFmtId="169" fontId="0" fillId="0" borderId="0" xfId="133" applyNumberFormat="1" applyFont="1" applyAlignment="1">
      <alignment horizontal="center"/>
    </xf>
    <xf numFmtId="42" fontId="0" fillId="0" borderId="17" xfId="0" applyNumberFormat="1" applyFill="1" applyBorder="1"/>
    <xf numFmtId="0" fontId="0" fillId="0" borderId="0" xfId="0" applyBorder="1" applyAlignment="1" applyProtection="1">
      <alignment horizontal="left" vertical="center"/>
      <protection locked="0"/>
    </xf>
    <xf numFmtId="0" fontId="0" fillId="0" borderId="0" xfId="0" applyBorder="1" applyProtection="1">
      <protection locked="0"/>
    </xf>
    <xf numFmtId="0" fontId="0" fillId="24" borderId="0" xfId="0" applyFill="1" applyBorder="1" applyProtection="1">
      <protection locked="0"/>
    </xf>
    <xf numFmtId="169" fontId="0" fillId="0" borderId="0" xfId="0" applyNumberFormat="1" applyFill="1"/>
    <xf numFmtId="169" fontId="0" fillId="0" borderId="17" xfId="0" applyNumberFormat="1" applyFill="1" applyBorder="1"/>
    <xf numFmtId="1" fontId="29" fillId="0" borderId="0" xfId="0" applyNumberFormat="1" applyFont="1" applyAlignment="1">
      <alignment horizontal="right"/>
    </xf>
    <xf numFmtId="169" fontId="29" fillId="0" borderId="0" xfId="133" applyNumberFormat="1" applyFont="1" applyAlignment="1">
      <alignment horizontal="right"/>
    </xf>
    <xf numFmtId="0" fontId="46" fillId="0" borderId="0" xfId="0" applyFont="1"/>
    <xf numFmtId="165" fontId="0" fillId="0" borderId="17" xfId="0" applyNumberFormat="1" applyFill="1" applyBorder="1"/>
    <xf numFmtId="168" fontId="29" fillId="0" borderId="0" xfId="0" applyNumberFormat="1" applyFont="1" applyBorder="1" applyAlignment="1">
      <alignment horizontal="right"/>
    </xf>
    <xf numFmtId="0" fontId="29" fillId="0" borderId="0" xfId="0" applyFont="1" applyFill="1" applyAlignment="1">
      <alignment horizontal="right"/>
    </xf>
    <xf numFmtId="0" fontId="29" fillId="0" borderId="0" xfId="0" applyFont="1" applyAlignment="1">
      <alignment horizontal="center"/>
    </xf>
    <xf numFmtId="168" fontId="29" fillId="0" borderId="0" xfId="0" applyNumberFormat="1" applyFont="1" applyAlignment="1">
      <alignment horizontal="center"/>
    </xf>
    <xf numFmtId="0" fontId="29" fillId="0" borderId="0" xfId="0" applyFont="1" applyFill="1" applyAlignment="1">
      <alignment horizontal="center"/>
    </xf>
    <xf numFmtId="4" fontId="29" fillId="0" borderId="0" xfId="0" applyNumberFormat="1" applyFont="1" applyAlignment="1">
      <alignment horizontal="right"/>
    </xf>
    <xf numFmtId="169" fontId="29" fillId="0" borderId="0" xfId="133" applyNumberFormat="1" applyFont="1"/>
    <xf numFmtId="175" fontId="29" fillId="0" borderId="0" xfId="133" applyNumberFormat="1" applyFont="1" applyFill="1" applyBorder="1"/>
    <xf numFmtId="167" fontId="29" fillId="0" borderId="0" xfId="0" applyNumberFormat="1" applyFont="1"/>
    <xf numFmtId="0" fontId="29" fillId="0" borderId="17" xfId="0" applyFont="1" applyFill="1" applyBorder="1"/>
    <xf numFmtId="169" fontId="29" fillId="0" borderId="17" xfId="133" applyNumberFormat="1" applyFont="1" applyFill="1" applyBorder="1"/>
    <xf numFmtId="37" fontId="29" fillId="0" borderId="17" xfId="133" applyNumberFormat="1" applyFont="1" applyFill="1" applyBorder="1"/>
    <xf numFmtId="1" fontId="29" fillId="0" borderId="17" xfId="0" applyNumberFormat="1" applyFont="1" applyFill="1" applyBorder="1"/>
    <xf numFmtId="0" fontId="29" fillId="0" borderId="17" xfId="0" applyFont="1" applyBorder="1" applyAlignment="1">
      <alignment horizontal="right"/>
    </xf>
    <xf numFmtId="169" fontId="29" fillId="0" borderId="17" xfId="133" applyNumberFormat="1" applyFont="1" applyBorder="1" applyAlignment="1">
      <alignment horizontal="right"/>
    </xf>
    <xf numFmtId="37" fontId="29" fillId="0" borderId="17" xfId="133" applyNumberFormat="1" applyFont="1" applyBorder="1" applyAlignment="1">
      <alignment horizontal="right"/>
    </xf>
    <xf numFmtId="169" fontId="29" fillId="0" borderId="0" xfId="0" applyNumberFormat="1" applyFont="1"/>
    <xf numFmtId="169" fontId="29" fillId="0" borderId="17" xfId="133" applyNumberFormat="1" applyFont="1" applyBorder="1"/>
    <xf numFmtId="0" fontId="25" fillId="25" borderId="19" xfId="0" applyNumberFormat="1" applyFont="1" applyFill="1" applyBorder="1" applyAlignment="1" applyProtection="1">
      <alignment horizontal="left" wrapText="1"/>
    </xf>
    <xf numFmtId="0" fontId="26" fillId="25" borderId="20" xfId="0" applyNumberFormat="1" applyFont="1" applyFill="1" applyBorder="1" applyAlignment="1" applyProtection="1">
      <alignment horizontal="center"/>
    </xf>
    <xf numFmtId="0" fontId="26" fillId="25" borderId="22" xfId="0" applyNumberFormat="1" applyFont="1" applyFill="1" applyBorder="1" applyAlignment="1" applyProtection="1">
      <alignment wrapText="1"/>
    </xf>
    <xf numFmtId="0" fontId="26" fillId="25" borderId="19" xfId="0" applyNumberFormat="1" applyFont="1" applyFill="1" applyBorder="1" applyAlignment="1" applyProtection="1">
      <alignment horizontal="left"/>
    </xf>
    <xf numFmtId="0" fontId="26" fillId="25" borderId="20" xfId="0" applyNumberFormat="1" applyFont="1" applyFill="1" applyBorder="1" applyAlignment="1" applyProtection="1">
      <alignment horizontal="right"/>
    </xf>
    <xf numFmtId="0" fontId="26" fillId="25" borderId="20" xfId="0" applyNumberFormat="1" applyFont="1" applyFill="1" applyBorder="1" applyAlignment="1" applyProtection="1"/>
    <xf numFmtId="0" fontId="26" fillId="25" borderId="22" xfId="0" applyNumberFormat="1" applyFont="1" applyFill="1" applyBorder="1" applyAlignment="1" applyProtection="1"/>
    <xf numFmtId="0" fontId="26" fillId="25" borderId="19" xfId="0" applyNumberFormat="1" applyFont="1" applyFill="1" applyBorder="1" applyAlignment="1" applyProtection="1">
      <alignment horizontal="center"/>
    </xf>
    <xf numFmtId="0" fontId="0" fillId="25" borderId="23" xfId="0" applyNumberFormat="1" applyFill="1" applyBorder="1" applyAlignment="1" applyProtection="1">
      <alignment wrapText="1"/>
    </xf>
    <xf numFmtId="0" fontId="26" fillId="25" borderId="24" xfId="0" applyNumberFormat="1" applyFont="1" applyFill="1" applyBorder="1" applyAlignment="1" applyProtection="1">
      <alignment horizontal="center"/>
    </xf>
    <xf numFmtId="0" fontId="26" fillId="25" borderId="25" xfId="0" applyNumberFormat="1" applyFont="1" applyFill="1" applyBorder="1" applyAlignment="1" applyProtection="1">
      <alignment horizontal="center" wrapText="1"/>
    </xf>
    <xf numFmtId="16" fontId="0" fillId="25" borderId="23" xfId="0" applyNumberFormat="1" applyFill="1" applyBorder="1" applyAlignment="1" applyProtection="1">
      <alignment horizontal="center"/>
    </xf>
    <xf numFmtId="0" fontId="0" fillId="25" borderId="24" xfId="0" quotePrefix="1" applyNumberFormat="1" applyFill="1" applyBorder="1" applyAlignment="1" applyProtection="1">
      <alignment horizontal="center"/>
    </xf>
    <xf numFmtId="0" fontId="0" fillId="25" borderId="25" xfId="0" quotePrefix="1" applyNumberFormat="1" applyFill="1" applyBorder="1" applyAlignment="1" applyProtection="1">
      <alignment horizontal="center"/>
    </xf>
    <xf numFmtId="16" fontId="0" fillId="25" borderId="24" xfId="0" applyNumberFormat="1" applyFill="1" applyBorder="1" applyAlignment="1" applyProtection="1">
      <alignment horizontal="center"/>
    </xf>
    <xf numFmtId="0" fontId="0" fillId="25" borderId="26" xfId="0" applyNumberFormat="1" applyFill="1" applyBorder="1" applyAlignment="1" applyProtection="1"/>
    <xf numFmtId="3" fontId="0" fillId="0" borderId="18" xfId="0" applyNumberFormat="1" applyFill="1" applyBorder="1" applyAlignment="1" applyProtection="1">
      <protection locked="0"/>
    </xf>
    <xf numFmtId="0" fontId="0" fillId="0" borderId="18" xfId="0" applyNumberFormat="1" applyFill="1" applyBorder="1" applyAlignment="1" applyProtection="1">
      <alignment horizontal="center"/>
      <protection locked="0"/>
    </xf>
    <xf numFmtId="169" fontId="0" fillId="25" borderId="0" xfId="133" applyNumberFormat="1" applyFont="1" applyFill="1" applyBorder="1" applyProtection="1"/>
    <xf numFmtId="0" fontId="4" fillId="0" borderId="18" xfId="0" applyNumberFormat="1" applyFont="1" applyFill="1" applyBorder="1" applyAlignment="1" applyProtection="1">
      <alignment horizontal="center"/>
      <protection locked="0"/>
    </xf>
    <xf numFmtId="3" fontId="0" fillId="25" borderId="26" xfId="133" applyNumberFormat="1" applyFont="1" applyFill="1" applyBorder="1" applyAlignment="1" applyProtection="1">
      <alignment horizontal="right"/>
    </xf>
    <xf numFmtId="3" fontId="0" fillId="25" borderId="0" xfId="133" applyNumberFormat="1" applyFont="1" applyFill="1" applyBorder="1" applyAlignment="1" applyProtection="1">
      <alignment horizontal="right"/>
    </xf>
    <xf numFmtId="3" fontId="0" fillId="25" borderId="16" xfId="133" applyNumberFormat="1" applyFont="1" applyFill="1" applyBorder="1" applyAlignment="1" applyProtection="1">
      <alignment horizontal="right"/>
    </xf>
    <xf numFmtId="3" fontId="0" fillId="0" borderId="12" xfId="0" applyNumberFormat="1" applyFill="1" applyBorder="1" applyAlignment="1" applyProtection="1">
      <protection locked="0"/>
    </xf>
    <xf numFmtId="0" fontId="0" fillId="0" borderId="12" xfId="0" applyNumberFormat="1" applyFill="1" applyBorder="1" applyAlignment="1" applyProtection="1">
      <alignment horizontal="center"/>
      <protection locked="0"/>
    </xf>
    <xf numFmtId="0" fontId="4" fillId="0" borderId="12" xfId="0" applyNumberFormat="1" applyFont="1" applyFill="1" applyBorder="1" applyAlignment="1" applyProtection="1">
      <alignment horizontal="center"/>
      <protection locked="0"/>
    </xf>
    <xf numFmtId="3" fontId="4" fillId="25" borderId="26" xfId="133" applyNumberFormat="1" applyFont="1" applyFill="1" applyBorder="1" applyAlignment="1" applyProtection="1">
      <alignment horizontal="right"/>
    </xf>
    <xf numFmtId="2" fontId="0" fillId="0" borderId="12" xfId="0" applyNumberFormat="1" applyFill="1" applyBorder="1" applyAlignment="1" applyProtection="1">
      <protection locked="0"/>
    </xf>
    <xf numFmtId="44" fontId="0" fillId="25" borderId="0" xfId="133" applyFont="1" applyFill="1" applyBorder="1" applyProtection="1"/>
    <xf numFmtId="3" fontId="0" fillId="25" borderId="14" xfId="133" applyNumberFormat="1" applyFont="1" applyFill="1" applyBorder="1" applyAlignment="1" applyProtection="1">
      <alignment horizontal="right"/>
    </xf>
    <xf numFmtId="3" fontId="0" fillId="25" borderId="17" xfId="133" applyNumberFormat="1" applyFont="1" applyFill="1" applyBorder="1" applyAlignment="1" applyProtection="1">
      <alignment horizontal="right"/>
    </xf>
    <xf numFmtId="3" fontId="0" fillId="25" borderId="21" xfId="133" applyNumberFormat="1" applyFont="1" applyFill="1" applyBorder="1" applyAlignment="1" applyProtection="1">
      <alignment horizontal="right"/>
    </xf>
    <xf numFmtId="0" fontId="23" fillId="25" borderId="10" xfId="0" applyNumberFormat="1" applyFont="1" applyFill="1" applyBorder="1" applyAlignment="1" applyProtection="1"/>
    <xf numFmtId="2" fontId="0" fillId="25" borderId="11" xfId="0" applyNumberFormat="1" applyFill="1" applyBorder="1" applyAlignment="1" applyProtection="1"/>
    <xf numFmtId="0" fontId="26" fillId="25" borderId="11" xfId="0" applyNumberFormat="1" applyFont="1" applyFill="1" applyBorder="1" applyAlignment="1" applyProtection="1">
      <alignment horizontal="right"/>
    </xf>
    <xf numFmtId="44" fontId="0" fillId="25" borderId="11" xfId="133" applyFont="1" applyFill="1" applyBorder="1" applyProtection="1"/>
    <xf numFmtId="0" fontId="0" fillId="25" borderId="10" xfId="0" applyNumberFormat="1" applyFill="1" applyBorder="1" applyAlignment="1" applyProtection="1">
      <alignment horizontal="center"/>
    </xf>
    <xf numFmtId="0" fontId="0" fillId="25" borderId="11" xfId="0" applyNumberFormat="1" applyFill="1" applyBorder="1" applyAlignment="1" applyProtection="1">
      <alignment horizontal="center"/>
    </xf>
    <xf numFmtId="0" fontId="0" fillId="25" borderId="13" xfId="0" applyNumberFormat="1" applyFill="1" applyBorder="1" applyAlignment="1" applyProtection="1">
      <alignment horizontal="center"/>
    </xf>
    <xf numFmtId="3" fontId="23" fillId="25" borderId="26" xfId="0" applyNumberFormat="1" applyFont="1" applyFill="1" applyBorder="1" applyAlignment="1" applyProtection="1">
      <alignment horizontal="right"/>
    </xf>
    <xf numFmtId="3" fontId="23" fillId="25" borderId="0" xfId="133" applyNumberFormat="1" applyFont="1" applyFill="1" applyBorder="1" applyAlignment="1" applyProtection="1">
      <alignment horizontal="right"/>
    </xf>
    <xf numFmtId="3" fontId="3" fillId="0" borderId="0" xfId="0" applyNumberFormat="1" applyFont="1"/>
    <xf numFmtId="165" fontId="0" fillId="0" borderId="17" xfId="0" applyNumberFormat="1" applyBorder="1" applyAlignment="1">
      <alignment horizontal="right"/>
    </xf>
    <xf numFmtId="169" fontId="0" fillId="0" borderId="0" xfId="0" applyNumberFormat="1" applyBorder="1"/>
    <xf numFmtId="39" fontId="0" fillId="0" borderId="0" xfId="0" applyNumberFormat="1"/>
    <xf numFmtId="44" fontId="0" fillId="0" borderId="17" xfId="0" applyNumberFormat="1" applyBorder="1"/>
    <xf numFmtId="2" fontId="0" fillId="0" borderId="17" xfId="0" applyNumberFormat="1" applyBorder="1"/>
    <xf numFmtId="0" fontId="0" fillId="0" borderId="0" xfId="0" applyBorder="1" applyAlignment="1">
      <alignment horizontal="right"/>
    </xf>
    <xf numFmtId="166" fontId="0" fillId="0" borderId="0" xfId="0" applyNumberFormat="1" applyBorder="1" applyAlignment="1">
      <alignment horizontal="right"/>
    </xf>
    <xf numFmtId="44" fontId="0" fillId="0" borderId="0" xfId="0" applyNumberFormat="1" applyBorder="1" applyAlignment="1">
      <alignment horizontal="right"/>
    </xf>
    <xf numFmtId="44" fontId="0" fillId="0" borderId="0" xfId="133" applyNumberFormat="1" applyFont="1" applyBorder="1"/>
    <xf numFmtId="169" fontId="29" fillId="0" borderId="0" xfId="133" applyNumberFormat="1" applyFont="1" applyFill="1" applyBorder="1" applyAlignment="1" applyProtection="1">
      <alignment horizontal="center"/>
    </xf>
    <xf numFmtId="0" fontId="29" fillId="0" borderId="17" xfId="0" applyNumberFormat="1" applyFont="1" applyFill="1" applyBorder="1" applyAlignment="1" applyProtection="1">
      <alignment horizontal="left" vertical="top" wrapText="1"/>
    </xf>
    <xf numFmtId="169" fontId="29" fillId="0" borderId="17" xfId="133" applyNumberFormat="1" applyFont="1" applyFill="1" applyBorder="1" applyAlignment="1" applyProtection="1">
      <protection locked="0"/>
    </xf>
    <xf numFmtId="3" fontId="29" fillId="0" borderId="0" xfId="0" applyNumberFormat="1" applyFont="1" applyFill="1" applyBorder="1" applyAlignment="1" applyProtection="1">
      <alignment horizontal="right"/>
    </xf>
    <xf numFmtId="9" fontId="3" fillId="0" borderId="17" xfId="150" applyFont="1" applyFill="1" applyBorder="1"/>
    <xf numFmtId="1" fontId="3" fillId="0" borderId="17" xfId="0" applyNumberFormat="1" applyFont="1" applyFill="1" applyBorder="1"/>
    <xf numFmtId="0" fontId="0" fillId="0" borderId="0" xfId="0"/>
    <xf numFmtId="0" fontId="0" fillId="0" borderId="0" xfId="0"/>
    <xf numFmtId="0" fontId="0" fillId="0" borderId="0" xfId="0"/>
    <xf numFmtId="0" fontId="3" fillId="0" borderId="0" xfId="0" applyFont="1"/>
    <xf numFmtId="0" fontId="0" fillId="0" borderId="0" xfId="0"/>
    <xf numFmtId="42" fontId="0" fillId="0" borderId="0" xfId="0" applyNumberFormat="1" applyFont="1" applyBorder="1"/>
    <xf numFmtId="0" fontId="0" fillId="0" borderId="0" xfId="0"/>
    <xf numFmtId="42" fontId="3" fillId="0" borderId="17" xfId="0" applyNumberFormat="1" applyFont="1" applyFill="1" applyBorder="1"/>
    <xf numFmtId="0" fontId="3" fillId="0" borderId="0" xfId="0" applyFont="1" applyAlignment="1">
      <alignment horizontal="left"/>
    </xf>
    <xf numFmtId="0" fontId="3" fillId="0" borderId="17" xfId="0" applyFont="1" applyBorder="1" applyAlignment="1">
      <alignment horizontal="left"/>
    </xf>
    <xf numFmtId="44" fontId="0" fillId="0" borderId="0" xfId="0" applyNumberFormat="1" applyFont="1" applyBorder="1"/>
    <xf numFmtId="0" fontId="0" fillId="0" borderId="0" xfId="0"/>
    <xf numFmtId="49" fontId="0" fillId="0" borderId="0" xfId="0" applyNumberFormat="1"/>
    <xf numFmtId="0" fontId="0" fillId="0" borderId="0" xfId="0"/>
    <xf numFmtId="0" fontId="29" fillId="0" borderId="0" xfId="0" applyFont="1"/>
    <xf numFmtId="0" fontId="42" fillId="0" borderId="0" xfId="0" applyFont="1"/>
    <xf numFmtId="0" fontId="0" fillId="0" borderId="0" xfId="0"/>
    <xf numFmtId="0" fontId="0" fillId="0" borderId="0" xfId="0"/>
    <xf numFmtId="0" fontId="0" fillId="0" borderId="0" xfId="0" applyFont="1"/>
    <xf numFmtId="9" fontId="3" fillId="0" borderId="0" xfId="0" applyNumberFormat="1" applyFont="1" applyFill="1"/>
    <xf numFmtId="42" fontId="3" fillId="0" borderId="0" xfId="0" applyNumberFormat="1" applyFont="1"/>
    <xf numFmtId="166" fontId="3" fillId="0" borderId="0" xfId="0" applyNumberFormat="1" applyFont="1" applyFill="1"/>
    <xf numFmtId="175" fontId="3" fillId="0" borderId="0" xfId="0" applyNumberFormat="1" applyFont="1"/>
    <xf numFmtId="10" fontId="0" fillId="0" borderId="0" xfId="150" applyNumberFormat="1" applyFont="1" applyBorder="1"/>
    <xf numFmtId="0" fontId="3" fillId="0" borderId="0" xfId="0" applyFont="1" applyBorder="1" applyAlignment="1">
      <alignment horizontal="center"/>
    </xf>
    <xf numFmtId="0" fontId="40" fillId="0" borderId="0" xfId="0" applyFont="1" applyBorder="1" applyAlignment="1">
      <alignment horizontal="center"/>
    </xf>
    <xf numFmtId="0" fontId="3" fillId="29" borderId="27" xfId="0" applyFont="1" applyFill="1" applyBorder="1" applyAlignment="1">
      <alignment wrapText="1"/>
    </xf>
    <xf numFmtId="10" fontId="0" fillId="30" borderId="28" xfId="0" applyNumberFormat="1" applyFill="1" applyBorder="1"/>
    <xf numFmtId="0" fontId="0" fillId="30" borderId="29" xfId="0" applyFill="1" applyBorder="1"/>
    <xf numFmtId="0" fontId="0" fillId="0" borderId="0" xfId="0" applyBorder="1" applyAlignment="1">
      <alignment horizontal="left"/>
    </xf>
    <xf numFmtId="165" fontId="0" fillId="0" borderId="0" xfId="0" applyNumberFormat="1" applyFill="1" applyBorder="1" applyAlignment="1">
      <alignment horizontal="left"/>
    </xf>
    <xf numFmtId="168" fontId="0" fillId="0" borderId="0" xfId="0" applyNumberFormat="1" applyBorder="1" applyAlignment="1">
      <alignment horizontal="left"/>
    </xf>
    <xf numFmtId="9" fontId="0" fillId="0" borderId="0" xfId="0" applyNumberFormat="1" applyBorder="1" applyAlignment="1">
      <alignment horizontal="left"/>
    </xf>
    <xf numFmtId="0" fontId="47" fillId="28" borderId="0" xfId="151" applyBorder="1" applyAlignment="1">
      <alignment horizontal="left"/>
    </xf>
    <xf numFmtId="10" fontId="3" fillId="31" borderId="0" xfId="150" applyNumberFormat="1" applyFont="1" applyFill="1" applyBorder="1" applyAlignment="1">
      <alignment horizontal="left"/>
    </xf>
    <xf numFmtId="10" fontId="0" fillId="31" borderId="0" xfId="150" applyNumberFormat="1" applyFont="1" applyFill="1" applyBorder="1" applyAlignment="1">
      <alignment horizontal="left"/>
    </xf>
    <xf numFmtId="0" fontId="40" fillId="31" borderId="0" xfId="0" applyFont="1" applyFill="1" applyBorder="1" applyAlignment="1">
      <alignment horizontal="left"/>
    </xf>
    <xf numFmtId="0" fontId="50" fillId="28" borderId="0" xfId="151" applyFont="1" applyBorder="1" applyAlignment="1">
      <alignment horizontal="left"/>
    </xf>
    <xf numFmtId="0" fontId="3" fillId="0" borderId="0" xfId="0" applyFont="1" applyBorder="1" applyAlignment="1">
      <alignment horizontal="center" wrapText="1"/>
    </xf>
    <xf numFmtId="0" fontId="40" fillId="0" borderId="0" xfId="0" applyFont="1" applyBorder="1" applyAlignment="1">
      <alignment horizontal="center" wrapText="1"/>
    </xf>
    <xf numFmtId="0" fontId="0" fillId="31" borderId="0" xfId="0" applyFill="1" applyBorder="1"/>
    <xf numFmtId="0" fontId="0" fillId="31" borderId="0" xfId="0" applyFill="1" applyBorder="1" applyAlignment="1">
      <alignment horizontal="left"/>
    </xf>
    <xf numFmtId="10" fontId="2" fillId="31" borderId="0" xfId="150" applyNumberFormat="1" applyFont="1" applyFill="1" applyBorder="1" applyAlignment="1">
      <alignment horizontal="left"/>
    </xf>
    <xf numFmtId="0" fontId="0" fillId="31" borderId="0" xfId="0" applyFont="1" applyFill="1" applyBorder="1" applyAlignment="1">
      <alignment horizontal="left"/>
    </xf>
    <xf numFmtId="0" fontId="3" fillId="32" borderId="0" xfId="0" applyFont="1" applyFill="1" applyBorder="1"/>
    <xf numFmtId="0" fontId="40" fillId="32" borderId="0" xfId="0" applyFont="1" applyFill="1" applyBorder="1" applyAlignment="1">
      <alignment horizontal="left"/>
    </xf>
    <xf numFmtId="0" fontId="0" fillId="32" borderId="0" xfId="0" applyFill="1" applyBorder="1" applyAlignment="1">
      <alignment horizontal="left"/>
    </xf>
    <xf numFmtId="0" fontId="0" fillId="32" borderId="0" xfId="0" applyFill="1" applyBorder="1"/>
    <xf numFmtId="10" fontId="3" fillId="31" borderId="0" xfId="150" applyNumberFormat="1" applyFont="1" applyFill="1" applyBorder="1" applyAlignment="1">
      <alignment horizontal="left" wrapText="1"/>
    </xf>
    <xf numFmtId="0" fontId="3" fillId="31" borderId="24" xfId="0" applyFont="1" applyFill="1" applyBorder="1" applyAlignment="1">
      <alignment wrapText="1"/>
    </xf>
    <xf numFmtId="10" fontId="0" fillId="30" borderId="0" xfId="0" applyNumberFormat="1" applyFill="1" applyBorder="1"/>
    <xf numFmtId="10" fontId="3" fillId="29" borderId="0" xfId="0" applyNumberFormat="1" applyFont="1" applyFill="1" applyBorder="1"/>
    <xf numFmtId="9" fontId="0" fillId="33" borderId="0" xfId="150" applyFont="1" applyFill="1"/>
    <xf numFmtId="0" fontId="3" fillId="29" borderId="24" xfId="0" applyFont="1" applyFill="1" applyBorder="1" applyAlignment="1">
      <alignment wrapText="1"/>
    </xf>
    <xf numFmtId="0" fontId="0" fillId="27" borderId="0" xfId="0" applyFill="1"/>
    <xf numFmtId="169" fontId="0" fillId="27" borderId="0" xfId="133" applyNumberFormat="1" applyFont="1" applyFill="1"/>
    <xf numFmtId="0" fontId="3" fillId="27" borderId="0" xfId="0" applyFont="1" applyFill="1" applyBorder="1"/>
    <xf numFmtId="0" fontId="0" fillId="27" borderId="0" xfId="0" applyFill="1" applyBorder="1"/>
    <xf numFmtId="0" fontId="0" fillId="27" borderId="0" xfId="0" applyFont="1" applyFill="1" applyAlignment="1">
      <alignment horizontal="right"/>
    </xf>
    <xf numFmtId="44" fontId="0" fillId="27" borderId="0" xfId="0" applyNumberFormat="1" applyFill="1"/>
    <xf numFmtId="42" fontId="0" fillId="27" borderId="0" xfId="0" applyNumberFormat="1" applyFont="1" applyFill="1" applyBorder="1"/>
    <xf numFmtId="44" fontId="0" fillId="27" borderId="0" xfId="0" applyNumberFormat="1" applyFont="1" applyFill="1" applyBorder="1"/>
    <xf numFmtId="0" fontId="0" fillId="27" borderId="0" xfId="0" applyFont="1" applyFill="1"/>
    <xf numFmtId="0" fontId="0" fillId="27" borderId="17" xfId="0" applyFont="1" applyFill="1" applyBorder="1"/>
    <xf numFmtId="42" fontId="0" fillId="27" borderId="17" xfId="133" applyNumberFormat="1" applyFont="1" applyFill="1" applyBorder="1"/>
    <xf numFmtId="0" fontId="0" fillId="27" borderId="0" xfId="0" applyFont="1" applyFill="1" applyBorder="1"/>
    <xf numFmtId="3" fontId="0" fillId="27" borderId="0" xfId="0" applyNumberFormat="1" applyFill="1" applyBorder="1"/>
    <xf numFmtId="170" fontId="0" fillId="27" borderId="0" xfId="0" applyNumberFormat="1" applyFill="1" applyBorder="1"/>
    <xf numFmtId="168" fontId="0" fillId="27" borderId="0" xfId="0" applyNumberFormat="1" applyFill="1" applyBorder="1"/>
    <xf numFmtId="0" fontId="3" fillId="27" borderId="0" xfId="0" applyFont="1" applyFill="1"/>
    <xf numFmtId="169" fontId="0" fillId="27" borderId="0" xfId="133" applyNumberFormat="1" applyFont="1" applyFill="1" applyBorder="1"/>
    <xf numFmtId="169" fontId="0" fillId="27" borderId="17" xfId="133" applyNumberFormat="1" applyFont="1" applyFill="1" applyBorder="1"/>
    <xf numFmtId="165" fontId="0" fillId="27" borderId="0" xfId="0" applyNumberFormat="1" applyFill="1"/>
    <xf numFmtId="1" fontId="0" fillId="27" borderId="0" xfId="0" applyNumberFormat="1" applyFill="1" applyBorder="1"/>
    <xf numFmtId="165" fontId="0" fillId="27" borderId="0" xfId="0" applyNumberFormat="1" applyFill="1" applyBorder="1"/>
    <xf numFmtId="9" fontId="0" fillId="27" borderId="0" xfId="0" applyNumberFormat="1" applyFill="1" applyBorder="1"/>
    <xf numFmtId="4" fontId="0" fillId="27" borderId="0" xfId="0" applyNumberFormat="1" applyFill="1" applyBorder="1"/>
    <xf numFmtId="44" fontId="39" fillId="27" borderId="0" xfId="0" applyNumberFormat="1" applyFont="1" applyFill="1" applyBorder="1"/>
    <xf numFmtId="0" fontId="0" fillId="27" borderId="0" xfId="0" applyFill="1" applyAlignment="1">
      <alignment horizontal="right"/>
    </xf>
    <xf numFmtId="9" fontId="0" fillId="27" borderId="0" xfId="0" applyNumberFormat="1" applyFont="1" applyFill="1" applyBorder="1"/>
    <xf numFmtId="9" fontId="28" fillId="27" borderId="0" xfId="0" applyNumberFormat="1" applyFont="1" applyFill="1" applyBorder="1"/>
    <xf numFmtId="0" fontId="0" fillId="35" borderId="0" xfId="0" applyFill="1"/>
    <xf numFmtId="0" fontId="3" fillId="35" borderId="0" xfId="0" applyFont="1" applyFill="1"/>
    <xf numFmtId="0" fontId="52" fillId="27" borderId="0" xfId="0" applyFont="1" applyFill="1"/>
    <xf numFmtId="0" fontId="0" fillId="34" borderId="0" xfId="0" applyFill="1"/>
    <xf numFmtId="168" fontId="0" fillId="34" borderId="0" xfId="0" applyNumberFormat="1" applyFill="1"/>
    <xf numFmtId="165" fontId="0" fillId="34" borderId="0" xfId="0" applyNumberFormat="1" applyFill="1"/>
    <xf numFmtId="0" fontId="52" fillId="0" borderId="0" xfId="0" applyFont="1"/>
    <xf numFmtId="165" fontId="52" fillId="0" borderId="0" xfId="0" applyNumberFormat="1" applyFont="1" applyAlignment="1">
      <alignment horizontal="right"/>
    </xf>
    <xf numFmtId="168" fontId="52" fillId="0" borderId="0" xfId="0" applyNumberFormat="1" applyFont="1" applyAlignment="1">
      <alignment horizontal="right"/>
    </xf>
    <xf numFmtId="165" fontId="52" fillId="27" borderId="0" xfId="0" applyNumberFormat="1" applyFont="1" applyFill="1" applyAlignment="1">
      <alignment horizontal="right"/>
    </xf>
    <xf numFmtId="168" fontId="52" fillId="27" borderId="0" xfId="0" applyNumberFormat="1" applyFont="1" applyFill="1" applyAlignment="1">
      <alignment horizontal="right"/>
    </xf>
    <xf numFmtId="0" fontId="0" fillId="0" borderId="0" xfId="0" applyAlignment="1">
      <alignment vertical="top" wrapText="1"/>
    </xf>
    <xf numFmtId="171" fontId="0" fillId="27" borderId="0" xfId="0" applyNumberFormat="1" applyFill="1"/>
    <xf numFmtId="44" fontId="0" fillId="0" borderId="0" xfId="0" applyNumberFormat="1" applyBorder="1"/>
    <xf numFmtId="168" fontId="0" fillId="0" borderId="0" xfId="0" applyNumberFormat="1" applyFill="1" applyBorder="1" applyAlignment="1">
      <alignment horizontal="left"/>
    </xf>
    <xf numFmtId="9" fontId="0" fillId="0" borderId="0" xfId="0" applyNumberFormat="1" applyFill="1" applyBorder="1" applyAlignment="1">
      <alignment horizontal="left"/>
    </xf>
    <xf numFmtId="0" fontId="0" fillId="0" borderId="0" xfId="0" applyFill="1" applyBorder="1" applyAlignment="1">
      <alignment horizontal="left"/>
    </xf>
    <xf numFmtId="10" fontId="3" fillId="0" borderId="0" xfId="150" applyNumberFormat="1" applyFont="1" applyFill="1" applyBorder="1" applyAlignment="1">
      <alignment horizontal="left" wrapText="1"/>
    </xf>
    <xf numFmtId="10" fontId="3" fillId="0" borderId="0" xfId="0" applyNumberFormat="1" applyFont="1" applyFill="1" applyBorder="1"/>
    <xf numFmtId="0" fontId="3" fillId="0" borderId="0" xfId="0" applyFont="1" applyFill="1" applyBorder="1" applyAlignment="1">
      <alignment horizontal="center" wrapText="1"/>
    </xf>
    <xf numFmtId="9" fontId="0" fillId="0" borderId="0" xfId="150" applyFont="1" applyFill="1" applyBorder="1"/>
    <xf numFmtId="10" fontId="0" fillId="0" borderId="0" xfId="0" applyNumberFormat="1" applyFill="1" applyBorder="1"/>
    <xf numFmtId="10" fontId="0" fillId="0" borderId="0" xfId="150" applyNumberFormat="1" applyFont="1" applyFill="1" applyBorder="1"/>
    <xf numFmtId="0" fontId="3" fillId="0" borderId="0" xfId="0" applyFont="1" applyFill="1" applyBorder="1" applyAlignment="1">
      <alignment horizontal="center"/>
    </xf>
    <xf numFmtId="0" fontId="40" fillId="0" borderId="0" xfId="0" applyFont="1" applyFill="1" applyBorder="1" applyAlignment="1">
      <alignment horizontal="left"/>
    </xf>
    <xf numFmtId="10" fontId="0" fillId="0" borderId="0" xfId="150" applyNumberFormat="1" applyFont="1" applyFill="1" applyBorder="1" applyAlignment="1">
      <alignment horizontal="left"/>
    </xf>
    <xf numFmtId="10" fontId="3" fillId="0" borderId="0" xfId="150" applyNumberFormat="1" applyFont="1" applyFill="1" applyBorder="1" applyAlignment="1">
      <alignment horizontal="left"/>
    </xf>
    <xf numFmtId="10" fontId="2" fillId="0" borderId="0" xfId="150" applyNumberFormat="1" applyFont="1" applyFill="1" applyBorder="1" applyAlignment="1">
      <alignment horizontal="left"/>
    </xf>
    <xf numFmtId="0" fontId="0" fillId="0" borderId="0" xfId="0" applyFont="1" applyFill="1" applyBorder="1" applyAlignment="1">
      <alignment horizontal="left"/>
    </xf>
    <xf numFmtId="0" fontId="0" fillId="0" borderId="26" xfId="0" applyBorder="1"/>
    <xf numFmtId="44" fontId="0" fillId="0" borderId="16" xfId="0" applyNumberFormat="1" applyBorder="1"/>
    <xf numFmtId="0" fontId="0" fillId="0" borderId="16" xfId="0" applyBorder="1"/>
    <xf numFmtId="0" fontId="0" fillId="0" borderId="26" xfId="0" applyFont="1" applyBorder="1"/>
    <xf numFmtId="0" fontId="0" fillId="0" borderId="14" xfId="0" applyBorder="1"/>
    <xf numFmtId="44" fontId="0" fillId="0" borderId="21" xfId="0" applyNumberFormat="1" applyBorder="1"/>
    <xf numFmtId="0" fontId="3" fillId="0" borderId="30" xfId="0" applyFont="1" applyBorder="1"/>
    <xf numFmtId="0" fontId="3" fillId="0" borderId="31" xfId="0" applyFont="1" applyBorder="1" applyAlignment="1">
      <alignment horizontal="left"/>
    </xf>
    <xf numFmtId="0" fontId="3" fillId="0" borderId="32" xfId="0" applyFont="1" applyBorder="1" applyAlignment="1">
      <alignment horizontal="left"/>
    </xf>
    <xf numFmtId="0" fontId="0" fillId="0" borderId="0" xfId="0" applyAlignment="1">
      <alignment horizontal="center"/>
    </xf>
    <xf numFmtId="178" fontId="0" fillId="35" borderId="0" xfId="0" applyNumberFormat="1" applyFill="1"/>
    <xf numFmtId="0" fontId="0" fillId="35" borderId="0" xfId="0" applyFill="1" applyAlignment="1">
      <alignment horizontal="right"/>
    </xf>
    <xf numFmtId="165" fontId="0" fillId="35" borderId="0" xfId="0" applyNumberFormat="1" applyFill="1"/>
    <xf numFmtId="169" fontId="0" fillId="0" borderId="0" xfId="0" applyNumberFormat="1" applyFont="1" applyFill="1"/>
    <xf numFmtId="169" fontId="32" fillId="0" borderId="0" xfId="0" applyNumberFormat="1" applyFont="1" applyFill="1"/>
    <xf numFmtId="0" fontId="27" fillId="0" borderId="33" xfId="0" applyFont="1" applyFill="1" applyBorder="1" applyAlignment="1">
      <alignment vertical="top" wrapText="1"/>
    </xf>
    <xf numFmtId="0" fontId="0" fillId="0" borderId="33" xfId="0" applyFont="1" applyBorder="1"/>
    <xf numFmtId="0" fontId="0" fillId="0" borderId="33" xfId="0" applyFont="1" applyFill="1" applyBorder="1"/>
    <xf numFmtId="169" fontId="0" fillId="0" borderId="33" xfId="133" applyNumberFormat="1" applyFont="1" applyFill="1" applyBorder="1"/>
    <xf numFmtId="169" fontId="55" fillId="0" borderId="0" xfId="0" applyNumberFormat="1" applyFont="1" applyFill="1"/>
    <xf numFmtId="0" fontId="0" fillId="0" borderId="0" xfId="0" applyBorder="1" applyAlignment="1">
      <alignment horizontal="left" vertical="center"/>
    </xf>
    <xf numFmtId="44" fontId="0" fillId="0" borderId="0" xfId="133" applyFont="1" applyFill="1" applyBorder="1"/>
    <xf numFmtId="0" fontId="42" fillId="0" borderId="0" xfId="0" applyFont="1" applyFill="1" applyBorder="1"/>
    <xf numFmtId="44" fontId="42" fillId="0" borderId="0" xfId="133" applyFont="1" applyFill="1" applyBorder="1"/>
    <xf numFmtId="44" fontId="56" fillId="0" borderId="0" xfId="0" applyNumberFormat="1" applyFont="1" applyFill="1" applyBorder="1"/>
    <xf numFmtId="0" fontId="58" fillId="0" borderId="0" xfId="0" applyFont="1" applyFill="1" applyBorder="1"/>
    <xf numFmtId="0" fontId="29" fillId="0" borderId="0" xfId="0" applyFont="1" applyFill="1" applyBorder="1" applyAlignment="1">
      <alignment horizontal="center"/>
    </xf>
    <xf numFmtId="0" fontId="22" fillId="0" borderId="0" xfId="0" applyFont="1" applyFill="1" applyBorder="1" applyAlignment="1">
      <alignment horizontal="center"/>
    </xf>
    <xf numFmtId="43" fontId="29" fillId="0" borderId="0" xfId="152" applyFont="1" applyFill="1" applyBorder="1"/>
    <xf numFmtId="179" fontId="29" fillId="0" borderId="0" xfId="0" applyNumberFormat="1" applyFont="1" applyFill="1" applyBorder="1"/>
    <xf numFmtId="44" fontId="29" fillId="0" borderId="0" xfId="133" applyFont="1" applyFill="1" applyBorder="1"/>
    <xf numFmtId="0" fontId="29" fillId="0" borderId="0" xfId="0" applyFont="1" applyFill="1" applyBorder="1" applyAlignment="1"/>
    <xf numFmtId="43" fontId="29" fillId="0" borderId="0" xfId="152" applyFont="1" applyFill="1" applyBorder="1" applyAlignment="1"/>
    <xf numFmtId="179" fontId="29" fillId="0" borderId="0" xfId="0" applyNumberFormat="1" applyFont="1" applyFill="1" applyBorder="1" applyAlignment="1"/>
    <xf numFmtId="44" fontId="29" fillId="0" borderId="0" xfId="133" applyFont="1" applyFill="1" applyBorder="1" applyAlignment="1"/>
    <xf numFmtId="0" fontId="22" fillId="0" borderId="0" xfId="0" applyFont="1" applyFill="1" applyBorder="1"/>
    <xf numFmtId="0" fontId="29" fillId="0" borderId="0" xfId="0" applyFont="1" applyFill="1" applyBorder="1" applyAlignment="1">
      <alignment horizontal="left"/>
    </xf>
    <xf numFmtId="43" fontId="22" fillId="0" borderId="0" xfId="0" applyNumberFormat="1" applyFont="1" applyFill="1" applyBorder="1"/>
    <xf numFmtId="44" fontId="22" fillId="0" borderId="0" xfId="0" applyNumberFormat="1" applyFont="1" applyFill="1" applyBorder="1"/>
    <xf numFmtId="43" fontId="29" fillId="0" borderId="0" xfId="0" applyNumberFormat="1" applyFont="1" applyFill="1" applyBorder="1"/>
    <xf numFmtId="0" fontId="0" fillId="0" borderId="0" xfId="0"/>
    <xf numFmtId="44" fontId="29" fillId="0" borderId="0" xfId="0" applyNumberFormat="1" applyFont="1" applyFill="1" applyBorder="1"/>
    <xf numFmtId="0" fontId="0" fillId="30" borderId="0" xfId="0" applyFill="1" applyBorder="1"/>
    <xf numFmtId="37" fontId="0" fillId="0" borderId="0" xfId="133" applyNumberFormat="1" applyFont="1" applyBorder="1"/>
    <xf numFmtId="37" fontId="22" fillId="0" borderId="0" xfId="0" applyNumberFormat="1" applyFont="1" applyFill="1" applyBorder="1"/>
    <xf numFmtId="0" fontId="22" fillId="0" borderId="0" xfId="0" applyFont="1" applyFill="1" applyBorder="1" applyAlignment="1"/>
    <xf numFmtId="0" fontId="0" fillId="0" borderId="0" xfId="0"/>
    <xf numFmtId="179" fontId="22" fillId="0" borderId="0" xfId="0" applyNumberFormat="1" applyFont="1" applyFill="1" applyBorder="1"/>
    <xf numFmtId="43" fontId="22" fillId="0" borderId="0" xfId="152" applyFont="1" applyFill="1" applyBorder="1"/>
    <xf numFmtId="44" fontId="22" fillId="0" borderId="0" xfId="133" applyFont="1" applyFill="1" applyBorder="1"/>
    <xf numFmtId="0" fontId="0" fillId="0" borderId="0" xfId="0"/>
    <xf numFmtId="0" fontId="0" fillId="0" borderId="0" xfId="0" applyFont="1"/>
    <xf numFmtId="6" fontId="29" fillId="0" borderId="0" xfId="133" applyNumberFormat="1" applyFont="1" applyFill="1" applyBorder="1"/>
    <xf numFmtId="6" fontId="29" fillId="0" borderId="0" xfId="0" applyNumberFormat="1" applyFont="1" applyFill="1" applyBorder="1"/>
    <xf numFmtId="6" fontId="42" fillId="0" borderId="0" xfId="0" applyNumberFormat="1" applyFont="1" applyFill="1" applyBorder="1"/>
    <xf numFmtId="0" fontId="57" fillId="0" borderId="0" xfId="0" applyFont="1" applyFill="1" applyBorder="1"/>
    <xf numFmtId="1" fontId="29" fillId="0" borderId="0" xfId="0" applyNumberFormat="1" applyFont="1" applyFill="1" applyBorder="1"/>
    <xf numFmtId="1" fontId="29" fillId="0" borderId="0" xfId="133" applyNumberFormat="1" applyFont="1" applyFill="1" applyBorder="1"/>
    <xf numFmtId="44" fontId="3" fillId="0" borderId="0" xfId="0" applyNumberFormat="1" applyFont="1" applyFill="1"/>
    <xf numFmtId="0" fontId="59" fillId="0" borderId="0" xfId="0" applyFont="1"/>
    <xf numFmtId="0" fontId="42" fillId="0" borderId="0" xfId="0" applyFont="1" applyAlignment="1">
      <alignment horizontal="left"/>
    </xf>
    <xf numFmtId="165" fontId="3" fillId="35" borderId="0" xfId="0" applyNumberFormat="1" applyFont="1" applyFill="1"/>
    <xf numFmtId="178" fontId="3" fillId="35" borderId="0" xfId="0" applyNumberFormat="1" applyFont="1" applyFill="1"/>
    <xf numFmtId="3" fontId="23" fillId="0" borderId="0" xfId="3" applyNumberFormat="1" applyFont="1"/>
    <xf numFmtId="0" fontId="23" fillId="0" borderId="34" xfId="3" applyFont="1" applyBorder="1"/>
    <xf numFmtId="172" fontId="23" fillId="0" borderId="34" xfId="3" applyNumberFormat="1" applyFont="1" applyBorder="1"/>
    <xf numFmtId="169" fontId="3" fillId="0" borderId="0" xfId="0" applyNumberFormat="1" applyFont="1" applyFill="1" applyBorder="1" applyAlignment="1">
      <alignment horizontal="right"/>
    </xf>
    <xf numFmtId="169" fontId="0" fillId="0" borderId="0" xfId="0" applyNumberFormat="1" applyFill="1" applyBorder="1"/>
    <xf numFmtId="39" fontId="0" fillId="0" borderId="0" xfId="0" applyNumberFormat="1" applyFill="1" applyBorder="1"/>
    <xf numFmtId="39" fontId="0" fillId="0" borderId="17" xfId="0" applyNumberFormat="1" applyFont="1" applyFill="1" applyBorder="1"/>
    <xf numFmtId="167" fontId="0" fillId="0" borderId="0" xfId="150" applyNumberFormat="1" applyFont="1" applyFill="1" applyBorder="1" applyAlignment="1">
      <alignment horizontal="left"/>
    </xf>
    <xf numFmtId="0" fontId="3" fillId="0" borderId="17" xfId="0" applyFont="1" applyFill="1" applyBorder="1" applyAlignment="1">
      <alignment horizontal="left"/>
    </xf>
    <xf numFmtId="0" fontId="3" fillId="0" borderId="17" xfId="0" applyFont="1" applyFill="1" applyBorder="1"/>
    <xf numFmtId="0" fontId="1" fillId="0" borderId="0" xfId="0" applyFont="1" applyFill="1" applyAlignment="1">
      <alignment horizontal="left"/>
    </xf>
    <xf numFmtId="0" fontId="3" fillId="0" borderId="35" xfId="0" applyFont="1" applyBorder="1" applyAlignment="1">
      <alignment horizontal="left"/>
    </xf>
    <xf numFmtId="0" fontId="3" fillId="0" borderId="35" xfId="0" applyFont="1" applyBorder="1"/>
    <xf numFmtId="180" fontId="3" fillId="0" borderId="35" xfId="0" applyNumberFormat="1" applyFont="1" applyFill="1" applyBorder="1"/>
    <xf numFmtId="168" fontId="3" fillId="0" borderId="35" xfId="0" applyNumberFormat="1" applyFont="1" applyBorder="1"/>
    <xf numFmtId="166" fontId="0" fillId="0" borderId="0" xfId="0" applyNumberFormat="1" applyFont="1"/>
    <xf numFmtId="0" fontId="0" fillId="0" borderId="19" xfId="0" applyBorder="1"/>
    <xf numFmtId="0" fontId="0" fillId="0" borderId="22" xfId="0" applyBorder="1"/>
    <xf numFmtId="165" fontId="0" fillId="0" borderId="16" xfId="0" applyNumberFormat="1" applyBorder="1"/>
    <xf numFmtId="165" fontId="0" fillId="0" borderId="21" xfId="0" applyNumberFormat="1" applyBorder="1"/>
    <xf numFmtId="0" fontId="0" fillId="0" borderId="0" xfId="0" applyAlignment="1">
      <alignment horizontal="center"/>
    </xf>
    <xf numFmtId="168" fontId="0" fillId="0" borderId="16" xfId="0" applyNumberFormat="1" applyBorder="1"/>
    <xf numFmtId="0" fontId="0" fillId="37" borderId="36" xfId="0" applyFill="1" applyBorder="1"/>
    <xf numFmtId="0" fontId="3" fillId="37" borderId="36" xfId="0" applyFont="1" applyFill="1" applyBorder="1" applyAlignment="1">
      <alignment horizontal="center" wrapText="1"/>
    </xf>
    <xf numFmtId="0" fontId="3" fillId="0" borderId="36" xfId="0" applyFont="1" applyBorder="1"/>
    <xf numFmtId="165" fontId="0" fillId="0" borderId="36" xfId="0" applyNumberFormat="1" applyBorder="1"/>
    <xf numFmtId="165" fontId="3" fillId="0" borderId="36" xfId="0" applyNumberFormat="1" applyFont="1" applyBorder="1"/>
    <xf numFmtId="0" fontId="0" fillId="0" borderId="36" xfId="0" applyBorder="1" applyAlignment="1">
      <alignment horizontal="left" indent="2"/>
    </xf>
    <xf numFmtId="44" fontId="29" fillId="0" borderId="0" xfId="133" applyNumberFormat="1" applyFont="1" applyAlignment="1">
      <alignment horizontal="right"/>
    </xf>
    <xf numFmtId="168" fontId="3" fillId="0" borderId="17" xfId="0" applyNumberFormat="1" applyFont="1" applyBorder="1"/>
    <xf numFmtId="168" fontId="3" fillId="0" borderId="21" xfId="0" applyNumberFormat="1" applyFont="1" applyBorder="1"/>
    <xf numFmtId="44" fontId="0" fillId="0" borderId="0" xfId="0" applyNumberFormat="1" applyFill="1"/>
    <xf numFmtId="2" fontId="0" fillId="0" borderId="0" xfId="0" applyNumberFormat="1" applyFill="1"/>
    <xf numFmtId="37" fontId="0" fillId="0" borderId="0" xfId="0" applyNumberFormat="1" applyAlignment="1">
      <alignment horizontal="center"/>
    </xf>
    <xf numFmtId="0" fontId="0" fillId="0" borderId="0" xfId="0" applyFill="1" applyAlignment="1">
      <alignment horizontal="center"/>
    </xf>
    <xf numFmtId="0" fontId="0" fillId="0" borderId="36" xfId="0" applyBorder="1"/>
    <xf numFmtId="0" fontId="0" fillId="40" borderId="36" xfId="0" applyFill="1" applyBorder="1"/>
    <xf numFmtId="0" fontId="3" fillId="40" borderId="36" xfId="0" applyFont="1" applyFill="1" applyBorder="1"/>
    <xf numFmtId="0" fontId="3" fillId="0" borderId="36" xfId="0" applyFont="1" applyBorder="1" applyAlignment="1">
      <alignment horizontal="right"/>
    </xf>
    <xf numFmtId="167" fontId="0" fillId="0" borderId="36" xfId="0" applyNumberFormat="1" applyBorder="1" applyAlignment="1">
      <alignment horizontal="center"/>
    </xf>
    <xf numFmtId="166" fontId="0" fillId="0" borderId="36" xfId="0" applyNumberFormat="1" applyBorder="1" applyAlignment="1">
      <alignment horizontal="center"/>
    </xf>
    <xf numFmtId="0" fontId="3" fillId="40" borderId="36" xfId="0" applyFont="1" applyFill="1" applyBorder="1" applyAlignment="1">
      <alignment horizontal="center"/>
    </xf>
    <xf numFmtId="0" fontId="0" fillId="40" borderId="36" xfId="0" applyFill="1" applyBorder="1" applyAlignment="1">
      <alignment vertical="center"/>
    </xf>
    <xf numFmtId="0" fontId="3" fillId="40" borderId="36" xfId="0" applyFont="1" applyFill="1" applyBorder="1" applyAlignment="1">
      <alignment horizontal="center" vertical="center"/>
    </xf>
    <xf numFmtId="0" fontId="0" fillId="0" borderId="36" xfId="0" applyBorder="1" applyAlignment="1">
      <alignment horizontal="center"/>
    </xf>
    <xf numFmtId="2" fontId="0" fillId="0" borderId="36" xfId="0" applyNumberFormat="1" applyBorder="1" applyAlignment="1">
      <alignment horizontal="center"/>
    </xf>
    <xf numFmtId="0" fontId="60" fillId="0" borderId="37" xfId="0" applyFont="1" applyBorder="1"/>
    <xf numFmtId="0" fontId="62" fillId="0" borderId="38" xfId="0" applyFont="1" applyBorder="1" applyAlignment="1">
      <alignment vertical="center"/>
    </xf>
    <xf numFmtId="0" fontId="62" fillId="0" borderId="26" xfId="0" applyFont="1" applyBorder="1" applyAlignment="1">
      <alignment horizontal="left" vertical="center" wrapText="1"/>
    </xf>
    <xf numFmtId="0" fontId="62" fillId="0" borderId="0" xfId="0" applyFont="1" applyBorder="1" applyAlignment="1">
      <alignment horizontal="left" vertical="center" wrapText="1"/>
    </xf>
    <xf numFmtId="0" fontId="62" fillId="0" borderId="16" xfId="0" applyFont="1" applyBorder="1" applyAlignment="1">
      <alignment horizontal="left" vertical="center" wrapText="1"/>
    </xf>
    <xf numFmtId="0" fontId="61" fillId="39" borderId="38" xfId="0" applyFont="1" applyFill="1" applyBorder="1"/>
    <xf numFmtId="0" fontId="61" fillId="39" borderId="26" xfId="0" applyFont="1" applyFill="1" applyBorder="1"/>
    <xf numFmtId="0" fontId="61" fillId="39" borderId="0" xfId="0" applyFont="1" applyFill="1" applyBorder="1"/>
    <xf numFmtId="0" fontId="61" fillId="39" borderId="16" xfId="0" applyFont="1" applyFill="1" applyBorder="1"/>
    <xf numFmtId="0" fontId="60" fillId="0" borderId="38" xfId="0" applyFont="1" applyBorder="1"/>
    <xf numFmtId="167" fontId="60" fillId="0" borderId="26" xfId="0" applyNumberFormat="1" applyFont="1" applyBorder="1"/>
    <xf numFmtId="165" fontId="60" fillId="0" borderId="0" xfId="0" applyNumberFormat="1" applyFont="1" applyBorder="1"/>
    <xf numFmtId="165" fontId="60" fillId="0" borderId="16" xfId="0" applyNumberFormat="1" applyFont="1" applyBorder="1"/>
    <xf numFmtId="167" fontId="60" fillId="0" borderId="0" xfId="0" applyNumberFormat="1" applyFont="1" applyBorder="1"/>
    <xf numFmtId="0" fontId="62" fillId="36" borderId="38" xfId="0" applyFont="1" applyFill="1" applyBorder="1"/>
    <xf numFmtId="1" fontId="62" fillId="36" borderId="26" xfId="0" applyNumberFormat="1" applyFont="1" applyFill="1" applyBorder="1"/>
    <xf numFmtId="165" fontId="62" fillId="36" borderId="0" xfId="0" applyNumberFormat="1" applyFont="1" applyFill="1" applyBorder="1"/>
    <xf numFmtId="165" fontId="62" fillId="36" borderId="16" xfId="0" applyNumberFormat="1" applyFont="1" applyFill="1" applyBorder="1"/>
    <xf numFmtId="1" fontId="62" fillId="36" borderId="0" xfId="0" applyNumberFormat="1" applyFont="1" applyFill="1" applyBorder="1"/>
    <xf numFmtId="0" fontId="60" fillId="0" borderId="26" xfId="0" applyFont="1" applyBorder="1"/>
    <xf numFmtId="0" fontId="60" fillId="0" borderId="0" xfId="0" applyFont="1" applyBorder="1"/>
    <xf numFmtId="0" fontId="60" fillId="0" borderId="16" xfId="0" applyFont="1" applyBorder="1"/>
    <xf numFmtId="0" fontId="62" fillId="36" borderId="18" xfId="0" applyFont="1" applyFill="1" applyBorder="1"/>
    <xf numFmtId="1" fontId="62" fillId="36" borderId="14" xfId="0" applyNumberFormat="1" applyFont="1" applyFill="1" applyBorder="1"/>
    <xf numFmtId="165" fontId="62" fillId="36" borderId="17" xfId="0" applyNumberFormat="1" applyFont="1" applyFill="1" applyBorder="1"/>
    <xf numFmtId="165" fontId="62" fillId="36" borderId="21" xfId="0" applyNumberFormat="1" applyFont="1" applyFill="1" applyBorder="1"/>
    <xf numFmtId="1" fontId="62" fillId="36" borderId="17" xfId="0" applyNumberFormat="1" applyFont="1" applyFill="1" applyBorder="1"/>
    <xf numFmtId="0" fontId="0" fillId="0" borderId="0" xfId="0" applyAlignment="1">
      <alignment horizontal="center" vertical="center"/>
    </xf>
    <xf numFmtId="0" fontId="0" fillId="24" borderId="37" xfId="0" applyFill="1" applyBorder="1"/>
    <xf numFmtId="0" fontId="0" fillId="24" borderId="38" xfId="0" applyFill="1" applyBorder="1"/>
    <xf numFmtId="0" fontId="0" fillId="24" borderId="18" xfId="0" applyFill="1" applyBorder="1"/>
    <xf numFmtId="0" fontId="0" fillId="0" borderId="36" xfId="0" applyBorder="1" applyAlignment="1">
      <alignment horizontal="left"/>
    </xf>
    <xf numFmtId="0" fontId="0" fillId="0" borderId="36" xfId="0" applyBorder="1" applyAlignment="1">
      <alignment vertical="center" wrapText="1"/>
    </xf>
    <xf numFmtId="0" fontId="0" fillId="0" borderId="36" xfId="0" applyBorder="1" applyAlignment="1">
      <alignment horizontal="center" vertical="center" wrapText="1"/>
    </xf>
    <xf numFmtId="0" fontId="3" fillId="33" borderId="36" xfId="0" applyFont="1" applyFill="1" applyBorder="1" applyAlignment="1">
      <alignment horizontal="center" vertical="center" wrapText="1"/>
    </xf>
    <xf numFmtId="0" fontId="63" fillId="0" borderId="0" xfId="0" applyFont="1" applyAlignment="1">
      <alignment horizontal="left" vertical="center" wrapText="1"/>
    </xf>
    <xf numFmtId="166" fontId="0" fillId="0" borderId="0" xfId="0" applyNumberFormat="1" applyFont="1" applyFill="1" applyBorder="1"/>
    <xf numFmtId="0" fontId="3" fillId="0" borderId="36" xfId="0" applyFont="1" applyFill="1" applyBorder="1"/>
    <xf numFmtId="165" fontId="3" fillId="0" borderId="36" xfId="0" applyNumberFormat="1" applyFont="1" applyFill="1" applyBorder="1"/>
    <xf numFmtId="0" fontId="0" fillId="0" borderId="42" xfId="0" applyBorder="1"/>
    <xf numFmtId="37" fontId="0" fillId="0" borderId="0" xfId="0" applyNumberFormat="1" applyBorder="1" applyAlignment="1">
      <alignment horizontal="center"/>
    </xf>
    <xf numFmtId="2" fontId="0" fillId="0" borderId="43" xfId="0" applyNumberFormat="1" applyBorder="1"/>
    <xf numFmtId="2" fontId="0" fillId="0" borderId="43" xfId="0" applyNumberFormat="1" applyFill="1" applyBorder="1"/>
    <xf numFmtId="0" fontId="0" fillId="0" borderId="0" xfId="0" applyBorder="1" applyAlignment="1">
      <alignment horizontal="center"/>
    </xf>
    <xf numFmtId="0" fontId="0" fillId="0" borderId="43" xfId="0" applyBorder="1"/>
    <xf numFmtId="0" fontId="0" fillId="0" borderId="44" xfId="0" applyBorder="1"/>
    <xf numFmtId="0" fontId="0" fillId="0" borderId="45" xfId="0" applyBorder="1"/>
    <xf numFmtId="169" fontId="0" fillId="0" borderId="45" xfId="133" applyNumberFormat="1" applyFont="1" applyBorder="1"/>
    <xf numFmtId="169" fontId="0" fillId="0" borderId="45" xfId="0" applyNumberFormat="1" applyBorder="1"/>
    <xf numFmtId="44" fontId="0" fillId="0" borderId="46" xfId="0" applyNumberFormat="1" applyBorder="1"/>
    <xf numFmtId="0" fontId="3" fillId="0" borderId="47" xfId="0" applyFont="1" applyBorder="1"/>
    <xf numFmtId="0" fontId="3" fillId="0" borderId="48" xfId="0" applyFont="1" applyBorder="1"/>
    <xf numFmtId="0" fontId="3" fillId="0" borderId="48" xfId="0" applyFont="1" applyBorder="1" applyAlignment="1">
      <alignment horizontal="right"/>
    </xf>
    <xf numFmtId="0" fontId="3" fillId="0" borderId="49" xfId="0" applyFont="1" applyBorder="1" applyAlignment="1">
      <alignment horizontal="right"/>
    </xf>
    <xf numFmtId="0" fontId="23" fillId="0" borderId="0" xfId="55" applyNumberFormat="1" applyFont="1" applyBorder="1"/>
    <xf numFmtId="2" fontId="23" fillId="0" borderId="0" xfId="55" applyNumberFormat="1" applyFont="1" applyBorder="1"/>
    <xf numFmtId="2" fontId="23" fillId="0" borderId="0" xfId="55" applyNumberFormat="1" applyFont="1" applyFill="1" applyBorder="1"/>
    <xf numFmtId="1" fontId="4" fillId="0" borderId="0" xfId="3" applyNumberFormat="1" applyFill="1"/>
    <xf numFmtId="1" fontId="4" fillId="0" borderId="0" xfId="3" applyNumberFormat="1" applyFill="1" applyBorder="1"/>
    <xf numFmtId="0" fontId="4" fillId="0" borderId="0" xfId="55" applyFont="1" applyFill="1" applyBorder="1"/>
    <xf numFmtId="0" fontId="23" fillId="0" borderId="0" xfId="55" applyNumberFormat="1" applyFont="1" applyFill="1" applyBorder="1"/>
    <xf numFmtId="167" fontId="4" fillId="0" borderId="12" xfId="3" applyNumberFormat="1" applyFill="1" applyBorder="1"/>
    <xf numFmtId="167" fontId="4" fillId="0" borderId="21" xfId="3" applyNumberFormat="1" applyFill="1" applyBorder="1"/>
    <xf numFmtId="167" fontId="4" fillId="0" borderId="13" xfId="3" applyNumberFormat="1" applyFill="1" applyBorder="1"/>
    <xf numFmtId="0" fontId="0" fillId="0" borderId="26" xfId="0" applyFill="1" applyBorder="1" applyAlignment="1">
      <alignment horizontal="left"/>
    </xf>
    <xf numFmtId="42" fontId="0" fillId="0" borderId="0" xfId="0" applyNumberFormat="1" applyFont="1" applyFill="1" applyBorder="1"/>
    <xf numFmtId="9" fontId="0" fillId="0" borderId="0" xfId="0" applyNumberFormat="1" applyFont="1" applyFill="1" applyBorder="1"/>
    <xf numFmtId="166" fontId="0" fillId="0" borderId="16" xfId="0" applyNumberFormat="1" applyFont="1" applyFill="1" applyBorder="1"/>
    <xf numFmtId="166" fontId="0" fillId="0" borderId="16" xfId="0" applyNumberFormat="1" applyFill="1" applyBorder="1"/>
    <xf numFmtId="9" fontId="0" fillId="0" borderId="16" xfId="0" applyNumberFormat="1" applyFont="1" applyFill="1" applyBorder="1"/>
    <xf numFmtId="0" fontId="0" fillId="0" borderId="26" xfId="0" applyFont="1" applyFill="1" applyBorder="1" applyAlignment="1">
      <alignment horizontal="left"/>
    </xf>
    <xf numFmtId="1" fontId="0" fillId="0" borderId="0" xfId="0" applyNumberFormat="1" applyFont="1" applyFill="1" applyBorder="1"/>
    <xf numFmtId="1" fontId="0" fillId="0" borderId="0" xfId="0" applyNumberFormat="1" applyFill="1" applyBorder="1"/>
    <xf numFmtId="0" fontId="0" fillId="0" borderId="14" xfId="0" applyFill="1" applyBorder="1" applyAlignment="1">
      <alignment horizontal="left"/>
    </xf>
    <xf numFmtId="9" fontId="0" fillId="0" borderId="17" xfId="0" applyNumberFormat="1" applyFont="1" applyFill="1" applyBorder="1"/>
    <xf numFmtId="166" fontId="0" fillId="0" borderId="21" xfId="0" applyNumberFormat="1" applyFill="1" applyBorder="1"/>
    <xf numFmtId="0" fontId="0" fillId="0" borderId="19" xfId="0" applyFill="1" applyBorder="1" applyAlignment="1">
      <alignment horizontal="left"/>
    </xf>
    <xf numFmtId="0" fontId="0" fillId="0" borderId="20" xfId="0" applyFill="1" applyBorder="1"/>
    <xf numFmtId="42" fontId="0" fillId="0" borderId="20" xfId="0" applyNumberFormat="1" applyFill="1" applyBorder="1"/>
    <xf numFmtId="9" fontId="0" fillId="0" borderId="20" xfId="0" applyNumberFormat="1" applyFont="1" applyFill="1" applyBorder="1"/>
    <xf numFmtId="9" fontId="0" fillId="0" borderId="22" xfId="0" applyNumberFormat="1" applyFont="1" applyFill="1" applyBorder="1"/>
    <xf numFmtId="166" fontId="0" fillId="0" borderId="22" xfId="0" applyNumberFormat="1" applyFill="1" applyBorder="1"/>
    <xf numFmtId="0" fontId="52" fillId="0" borderId="14" xfId="0" applyFont="1" applyFill="1" applyBorder="1" applyAlignment="1">
      <alignment horizontal="left"/>
    </xf>
    <xf numFmtId="0" fontId="52" fillId="0" borderId="17" xfId="0" applyFont="1" applyFill="1" applyBorder="1"/>
    <xf numFmtId="42" fontId="52" fillId="0" borderId="17" xfId="0" applyNumberFormat="1" applyFont="1" applyFill="1" applyBorder="1"/>
    <xf numFmtId="9" fontId="52" fillId="0" borderId="17" xfId="0" applyNumberFormat="1" applyFont="1" applyFill="1" applyBorder="1"/>
    <xf numFmtId="166" fontId="52" fillId="0" borderId="21" xfId="0" applyNumberFormat="1" applyFont="1" applyFill="1" applyBorder="1"/>
    <xf numFmtId="0" fontId="0" fillId="0" borderId="19" xfId="0" applyFont="1" applyFill="1" applyBorder="1" applyAlignment="1">
      <alignment horizontal="left"/>
    </xf>
    <xf numFmtId="0" fontId="0" fillId="0" borderId="20" xfId="0" applyFont="1" applyFill="1" applyBorder="1"/>
    <xf numFmtId="1" fontId="0" fillId="0" borderId="20" xfId="0" applyNumberFormat="1" applyFont="1" applyFill="1" applyBorder="1"/>
    <xf numFmtId="42" fontId="0" fillId="0" borderId="20" xfId="0" applyNumberFormat="1" applyFont="1" applyFill="1" applyBorder="1"/>
    <xf numFmtId="166" fontId="0" fillId="0" borderId="22" xfId="0" applyNumberFormat="1" applyFont="1" applyFill="1" applyBorder="1"/>
    <xf numFmtId="0" fontId="0" fillId="0" borderId="14" xfId="0" applyFont="1" applyFill="1" applyBorder="1" applyAlignment="1">
      <alignment horizontal="left"/>
    </xf>
    <xf numFmtId="1" fontId="0" fillId="0" borderId="17" xfId="0" applyNumberFormat="1" applyFont="1" applyFill="1" applyBorder="1"/>
    <xf numFmtId="42" fontId="0" fillId="0" borderId="17" xfId="0" applyNumberFormat="1" applyFont="1" applyFill="1" applyBorder="1"/>
    <xf numFmtId="166" fontId="0" fillId="0" borderId="21" xfId="0" applyNumberFormat="1" applyFont="1" applyFill="1" applyBorder="1"/>
    <xf numFmtId="1" fontId="0" fillId="0" borderId="20" xfId="0" applyNumberFormat="1" applyFill="1" applyBorder="1"/>
    <xf numFmtId="1" fontId="0" fillId="0" borderId="17" xfId="0" applyNumberFormat="1" applyFill="1" applyBorder="1"/>
    <xf numFmtId="0" fontId="0" fillId="0" borderId="26" xfId="0" applyNumberFormat="1" applyFill="1" applyBorder="1" applyAlignment="1">
      <alignment horizontal="left"/>
    </xf>
    <xf numFmtId="166" fontId="0" fillId="0" borderId="17" xfId="0" applyNumberFormat="1" applyFont="1" applyFill="1" applyBorder="1"/>
    <xf numFmtId="0" fontId="3" fillId="41" borderId="10" xfId="0" applyFont="1" applyFill="1" applyBorder="1" applyAlignment="1">
      <alignment horizontal="left"/>
    </xf>
    <xf numFmtId="0" fontId="3" fillId="41" borderId="11" xfId="0" applyFont="1" applyFill="1" applyBorder="1"/>
    <xf numFmtId="42" fontId="3" fillId="41" borderId="11" xfId="0" applyNumberFormat="1" applyFont="1" applyFill="1" applyBorder="1"/>
    <xf numFmtId="9" fontId="3" fillId="41" borderId="11" xfId="0" applyNumberFormat="1" applyFont="1" applyFill="1" applyBorder="1"/>
    <xf numFmtId="166" fontId="3" fillId="41" borderId="13" xfId="0" applyNumberFormat="1" applyFont="1" applyFill="1" applyBorder="1"/>
    <xf numFmtId="1" fontId="3" fillId="41" borderId="11" xfId="0" applyNumberFormat="1" applyFont="1" applyFill="1" applyBorder="1"/>
    <xf numFmtId="44" fontId="3" fillId="41" borderId="11" xfId="0" applyNumberFormat="1" applyFont="1" applyFill="1" applyBorder="1"/>
    <xf numFmtId="42" fontId="22" fillId="41" borderId="11" xfId="0" applyNumberFormat="1" applyFont="1" applyFill="1" applyBorder="1"/>
    <xf numFmtId="169" fontId="3" fillId="41" borderId="11" xfId="0" applyNumberFormat="1" applyFont="1" applyFill="1" applyBorder="1"/>
    <xf numFmtId="49" fontId="3" fillId="41" borderId="19" xfId="0" applyNumberFormat="1" applyFont="1" applyFill="1" applyBorder="1" applyAlignment="1">
      <alignment horizontal="left"/>
    </xf>
    <xf numFmtId="0" fontId="0" fillId="41" borderId="20" xfId="0" applyFont="1" applyFill="1" applyBorder="1"/>
    <xf numFmtId="0" fontId="3" fillId="41" borderId="20" xfId="0" applyFont="1" applyFill="1" applyBorder="1"/>
    <xf numFmtId="169" fontId="3" fillId="41" borderId="20" xfId="0" applyNumberFormat="1" applyFont="1" applyFill="1" applyBorder="1"/>
    <xf numFmtId="9" fontId="3" fillId="41" borderId="20" xfId="150" applyFont="1" applyFill="1" applyBorder="1"/>
    <xf numFmtId="9" fontId="3" fillId="41" borderId="22" xfId="150" applyFont="1" applyFill="1" applyBorder="1"/>
    <xf numFmtId="0" fontId="3" fillId="41" borderId="10" xfId="0" applyNumberFormat="1" applyFont="1" applyFill="1" applyBorder="1" applyAlignment="1">
      <alignment horizontal="left"/>
    </xf>
    <xf numFmtId="169" fontId="3" fillId="41" borderId="11" xfId="0" applyNumberFormat="1" applyFont="1" applyFill="1" applyBorder="1" applyAlignment="1"/>
    <xf numFmtId="9" fontId="3" fillId="41" borderId="11" xfId="150" applyFont="1" applyFill="1" applyBorder="1"/>
    <xf numFmtId="9" fontId="3" fillId="41" borderId="13" xfId="150" applyFont="1" applyFill="1" applyBorder="1"/>
    <xf numFmtId="166" fontId="3" fillId="41" borderId="11" xfId="0" applyNumberFormat="1" applyFont="1" applyFill="1" applyBorder="1"/>
    <xf numFmtId="0" fontId="0" fillId="0" borderId="0" xfId="0" applyFill="1" applyAlignment="1">
      <alignment horizontal="right"/>
    </xf>
    <xf numFmtId="165" fontId="0" fillId="0" borderId="0" xfId="0" applyNumberFormat="1" applyFill="1" applyAlignment="1">
      <alignment horizontal="right"/>
    </xf>
    <xf numFmtId="168" fontId="0" fillId="0" borderId="0" xfId="0" applyNumberFormat="1" applyFill="1" applyAlignment="1">
      <alignment horizontal="right"/>
    </xf>
    <xf numFmtId="42" fontId="0" fillId="0" borderId="0" xfId="133" applyNumberFormat="1" applyFont="1" applyFill="1"/>
    <xf numFmtId="0" fontId="46" fillId="0" borderId="0" xfId="0" applyFont="1" applyFill="1"/>
    <xf numFmtId="169" fontId="29" fillId="0" borderId="0" xfId="133" applyNumberFormat="1" applyFont="1" applyFill="1"/>
    <xf numFmtId="1" fontId="29" fillId="0" borderId="0" xfId="0" applyNumberFormat="1" applyFont="1" applyFill="1" applyAlignment="1">
      <alignment horizontal="right"/>
    </xf>
    <xf numFmtId="169" fontId="29" fillId="0" borderId="0" xfId="133" applyNumberFormat="1" applyFont="1" applyFill="1" applyAlignment="1">
      <alignment horizontal="right"/>
    </xf>
    <xf numFmtId="9" fontId="29" fillId="0" borderId="0" xfId="0" applyNumberFormat="1" applyFont="1" applyFill="1"/>
    <xf numFmtId="0" fontId="29" fillId="0" borderId="17" xfId="0" applyFont="1" applyFill="1" applyBorder="1" applyAlignment="1">
      <alignment horizontal="right"/>
    </xf>
    <xf numFmtId="42" fontId="3" fillId="41" borderId="13" xfId="0" applyNumberFormat="1" applyFont="1" applyFill="1" applyBorder="1"/>
    <xf numFmtId="42" fontId="0" fillId="0" borderId="16" xfId="0" applyNumberFormat="1" applyFont="1" applyBorder="1"/>
    <xf numFmtId="42" fontId="0" fillId="0" borderId="17" xfId="0" applyNumberFormat="1" applyFont="1" applyBorder="1"/>
    <xf numFmtId="42" fontId="0" fillId="0" borderId="21" xfId="0" applyNumberFormat="1" applyFont="1" applyBorder="1"/>
    <xf numFmtId="42" fontId="3" fillId="0" borderId="17" xfId="0" applyNumberFormat="1" applyFont="1" applyBorder="1"/>
    <xf numFmtId="0" fontId="3" fillId="32" borderId="10" xfId="0" applyFont="1" applyFill="1" applyBorder="1" applyAlignment="1">
      <alignment horizontal="left"/>
    </xf>
    <xf numFmtId="42" fontId="3" fillId="32" borderId="11" xfId="0" applyNumberFormat="1" applyFont="1" applyFill="1" applyBorder="1"/>
    <xf numFmtId="0" fontId="0" fillId="31" borderId="19" xfId="0" applyFont="1" applyFill="1" applyBorder="1" applyAlignment="1">
      <alignment horizontal="left"/>
    </xf>
    <xf numFmtId="0" fontId="0" fillId="31" borderId="26" xfId="0" applyFont="1" applyFill="1" applyBorder="1" applyAlignment="1">
      <alignment horizontal="left"/>
    </xf>
    <xf numFmtId="0" fontId="0" fillId="31" borderId="14" xfId="0" applyFont="1" applyFill="1" applyBorder="1" applyAlignment="1">
      <alignment horizontal="left"/>
    </xf>
    <xf numFmtId="42" fontId="3" fillId="32" borderId="13" xfId="0" applyNumberFormat="1" applyFont="1" applyFill="1" applyBorder="1"/>
    <xf numFmtId="42" fontId="0" fillId="31" borderId="0" xfId="0" applyNumberFormat="1" applyFont="1" applyFill="1" applyBorder="1"/>
    <xf numFmtId="44" fontId="0" fillId="31" borderId="0" xfId="0" applyNumberFormat="1" applyFont="1" applyFill="1" applyBorder="1"/>
    <xf numFmtId="44" fontId="0" fillId="31" borderId="16" xfId="0" applyNumberFormat="1" applyFont="1" applyFill="1" applyBorder="1"/>
    <xf numFmtId="0" fontId="28" fillId="27" borderId="15" xfId="0" applyFont="1" applyFill="1" applyBorder="1" applyAlignment="1">
      <alignment horizontal="center"/>
    </xf>
    <xf numFmtId="0" fontId="28" fillId="27" borderId="18" xfId="0" applyFont="1" applyFill="1" applyBorder="1" applyAlignment="1">
      <alignment horizontal="center"/>
    </xf>
    <xf numFmtId="0" fontId="40" fillId="27" borderId="10" xfId="0" applyFont="1" applyFill="1" applyBorder="1" applyAlignment="1">
      <alignment horizontal="center"/>
    </xf>
    <xf numFmtId="0" fontId="40" fillId="27" borderId="13" xfId="0" applyFont="1" applyFill="1" applyBorder="1" applyAlignment="1">
      <alignment horizontal="center"/>
    </xf>
    <xf numFmtId="0" fontId="40" fillId="27" borderId="15" xfId="0" applyFont="1" applyFill="1" applyBorder="1" applyAlignment="1">
      <alignment horizontal="center"/>
    </xf>
    <xf numFmtId="0" fontId="40" fillId="27" borderId="18" xfId="0" applyFont="1" applyFill="1" applyBorder="1" applyAlignment="1">
      <alignment horizontal="center"/>
    </xf>
    <xf numFmtId="0" fontId="40" fillId="27" borderId="19" xfId="0" applyFont="1" applyFill="1" applyBorder="1" applyAlignment="1">
      <alignment horizontal="center"/>
    </xf>
    <xf numFmtId="0" fontId="40" fillId="27" borderId="14" xfId="0" applyFont="1" applyFill="1" applyBorder="1" applyAlignment="1">
      <alignment horizontal="center"/>
    </xf>
    <xf numFmtId="0" fontId="23" fillId="0" borderId="10" xfId="55" applyFont="1" applyFill="1" applyBorder="1" applyAlignment="1">
      <alignment horizontal="center"/>
    </xf>
    <xf numFmtId="0" fontId="23" fillId="0" borderId="13" xfId="55" applyFont="1" applyFill="1" applyBorder="1" applyAlignment="1">
      <alignment horizontal="center"/>
    </xf>
    <xf numFmtId="0" fontId="61" fillId="38" borderId="39" xfId="0" applyFont="1" applyFill="1" applyBorder="1" applyAlignment="1">
      <alignment horizontal="center"/>
    </xf>
    <xf numFmtId="0" fontId="61" fillId="38" borderId="40" xfId="0" applyFont="1" applyFill="1" applyBorder="1" applyAlignment="1">
      <alignment horizontal="center"/>
    </xf>
    <xf numFmtId="0" fontId="61" fillId="38" borderId="41" xfId="0" applyFont="1" applyFill="1" applyBorder="1" applyAlignment="1">
      <alignment horizontal="center"/>
    </xf>
    <xf numFmtId="0" fontId="61" fillId="38" borderId="20" xfId="0" applyFont="1" applyFill="1" applyBorder="1" applyAlignment="1">
      <alignment horizontal="center"/>
    </xf>
    <xf numFmtId="0" fontId="61" fillId="38" borderId="22" xfId="0" applyFont="1" applyFill="1" applyBorder="1" applyAlignment="1">
      <alignment horizontal="center"/>
    </xf>
    <xf numFmtId="0" fontId="0" fillId="0" borderId="30"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18"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26" xfId="0" applyBorder="1" applyAlignment="1">
      <alignment horizontal="center" vertical="center"/>
    </xf>
    <xf numFmtId="0" fontId="0" fillId="0" borderId="14" xfId="0" applyBorder="1" applyAlignment="1">
      <alignment horizontal="center" vertical="center"/>
    </xf>
    <xf numFmtId="0" fontId="0" fillId="0" borderId="36" xfId="0" applyBorder="1" applyAlignment="1">
      <alignment horizontal="left" vertical="center" wrapText="1"/>
    </xf>
    <xf numFmtId="0" fontId="0" fillId="0" borderId="36" xfId="0" applyBorder="1" applyAlignment="1">
      <alignment horizontal="center" vertical="center" wrapText="1"/>
    </xf>
    <xf numFmtId="0" fontId="0" fillId="0" borderId="37" xfId="0" applyBorder="1" applyAlignment="1">
      <alignment horizontal="left" vertical="center" wrapText="1"/>
    </xf>
    <xf numFmtId="0" fontId="0" fillId="0" borderId="18" xfId="0" applyBorder="1" applyAlignment="1">
      <alignment horizontal="left" vertical="center" wrapText="1"/>
    </xf>
    <xf numFmtId="0" fontId="3" fillId="0" borderId="0" xfId="0" applyFont="1" applyAlignment="1">
      <alignment horizontal="center"/>
    </xf>
    <xf numFmtId="0" fontId="0" fillId="35" borderId="0" xfId="0" applyFill="1" applyAlignment="1">
      <alignment horizontal="center" vertical="top" wrapText="1"/>
    </xf>
    <xf numFmtId="0" fontId="0" fillId="0" borderId="0" xfId="0" applyBorder="1" applyAlignment="1">
      <alignment horizontal="left" vertical="center"/>
    </xf>
    <xf numFmtId="0" fontId="5" fillId="0" borderId="0" xfId="0" applyFont="1" applyFill="1" applyBorder="1" applyAlignment="1">
      <alignment horizontal="center" vertical="top" wrapText="1"/>
    </xf>
    <xf numFmtId="3" fontId="5" fillId="0" borderId="0" xfId="0" applyNumberFormat="1" applyFont="1" applyFill="1" applyBorder="1" applyAlignment="1">
      <alignment horizontal="center" vertical="top" wrapText="1"/>
    </xf>
    <xf numFmtId="0" fontId="0" fillId="0" borderId="0" xfId="0" applyAlignment="1">
      <alignment horizontal="center"/>
    </xf>
  </cellXfs>
  <cellStyles count="153">
    <cellStyle name="20% - Accent1 2" xfId="5"/>
    <cellStyle name="20% - Accent1 3" xfId="56"/>
    <cellStyle name="20% - Accent2 2" xfId="6"/>
    <cellStyle name="20% - Accent2 3" xfId="57"/>
    <cellStyle name="20% - Accent3 2" xfId="7"/>
    <cellStyle name="20% - Accent3 3" xfId="58"/>
    <cellStyle name="20% - Accent4 2" xfId="8"/>
    <cellStyle name="20% - Accent4 3" xfId="59"/>
    <cellStyle name="20% - Accent5 2" xfId="9"/>
    <cellStyle name="20% - Accent5 3" xfId="60"/>
    <cellStyle name="20% - Accent6 2" xfId="10"/>
    <cellStyle name="20% - Accent6 3" xfId="61"/>
    <cellStyle name="40% - Accent1 2" xfId="11"/>
    <cellStyle name="40% - Accent1 3" xfId="62"/>
    <cellStyle name="40% - Accent2 2" xfId="12"/>
    <cellStyle name="40% - Accent2 3" xfId="63"/>
    <cellStyle name="40% - Accent3 2" xfId="13"/>
    <cellStyle name="40% - Accent3 3" xfId="64"/>
    <cellStyle name="40% - Accent4 2" xfId="14"/>
    <cellStyle name="40% - Accent4 3" xfId="65"/>
    <cellStyle name="40% - Accent5 2" xfId="15"/>
    <cellStyle name="40% - Accent5 3" xfId="66"/>
    <cellStyle name="40% - Accent6 2" xfId="16"/>
    <cellStyle name="40% - Accent6 3" xfId="67"/>
    <cellStyle name="60% - Accent1 2" xfId="17"/>
    <cellStyle name="60% - Accent1 3" xfId="68"/>
    <cellStyle name="60% - Accent2 2" xfId="18"/>
    <cellStyle name="60% - Accent2 3" xfId="69"/>
    <cellStyle name="60% - Accent3 2" xfId="19"/>
    <cellStyle name="60% - Accent3 3" xfId="70"/>
    <cellStyle name="60% - Accent4 2" xfId="20"/>
    <cellStyle name="60% - Accent4 3" xfId="71"/>
    <cellStyle name="60% - Accent5 2" xfId="21"/>
    <cellStyle name="60% - Accent5 3" xfId="72"/>
    <cellStyle name="60% - Accent6 2" xfId="22"/>
    <cellStyle name="60% - Accent6 3" xfId="73"/>
    <cellStyle name="Accent1 2" xfId="23"/>
    <cellStyle name="Accent1 3" xfId="74"/>
    <cellStyle name="Accent2 2" xfId="24"/>
    <cellStyle name="Accent2 3" xfId="75"/>
    <cellStyle name="Accent3 2" xfId="25"/>
    <cellStyle name="Accent3 3" xfId="76"/>
    <cellStyle name="Accent4 2" xfId="26"/>
    <cellStyle name="Accent4 3" xfId="77"/>
    <cellStyle name="Accent5 2" xfId="27"/>
    <cellStyle name="Accent5 3" xfId="78"/>
    <cellStyle name="Accent6 2" xfId="28"/>
    <cellStyle name="Accent6 3" xfId="79"/>
    <cellStyle name="Bad 2" xfId="29"/>
    <cellStyle name="Bad 3" xfId="80"/>
    <cellStyle name="Calculation 2" xfId="30"/>
    <cellStyle name="Calculation 2 2" xfId="81"/>
    <cellStyle name="Calculation 3" xfId="82"/>
    <cellStyle name="Calculation 3 2" xfId="83"/>
    <cellStyle name="Check Cell 2" xfId="31"/>
    <cellStyle name="Check Cell 3" xfId="84"/>
    <cellStyle name="Comma" xfId="152" builtinId="3"/>
    <cellStyle name="Comma 2" xfId="4"/>
    <cellStyle name="Comma 2 2" xfId="85"/>
    <cellStyle name="Comma 3" xfId="86"/>
    <cellStyle name="Currency" xfId="133" builtinId="4"/>
    <cellStyle name="Currency 2" xfId="87"/>
    <cellStyle name="Explanatory Text 2" xfId="32"/>
    <cellStyle name="Explanatory Text 3" xfId="88"/>
    <cellStyle name="Good 2" xfId="33"/>
    <cellStyle name="Good 3" xfId="89"/>
    <cellStyle name="Heading 1 2" xfId="34"/>
    <cellStyle name="Heading 1 3" xfId="90"/>
    <cellStyle name="Heading 2 2" xfId="35"/>
    <cellStyle name="Heading 2 3" xfId="91"/>
    <cellStyle name="Heading 3 2" xfId="36"/>
    <cellStyle name="Heading 3 3" xfId="92"/>
    <cellStyle name="Heading 4 2" xfId="37"/>
    <cellStyle name="Heading 4 3" xfId="93"/>
    <cellStyle name="Hyperlink" xfId="134" builtinId="8"/>
    <cellStyle name="Hyperlink 2" xfId="135"/>
    <cellStyle name="Input 2" xfId="38"/>
    <cellStyle name="Input 2 2" xfId="94"/>
    <cellStyle name="Input 3" xfId="95"/>
    <cellStyle name="Input 3 2" xfId="96"/>
    <cellStyle name="Linked Cell 2" xfId="39"/>
    <cellStyle name="Linked Cell 3" xfId="97"/>
    <cellStyle name="Neutral" xfId="151" builtinId="28"/>
    <cellStyle name="Neutral 2" xfId="40"/>
    <cellStyle name="Neutral 3" xfId="98"/>
    <cellStyle name="Normal" xfId="0" builtinId="0"/>
    <cellStyle name="Normal 10" xfId="55"/>
    <cellStyle name="Normal 100" xfId="136"/>
    <cellStyle name="Normal 103" xfId="137"/>
    <cellStyle name="Normal 11" xfId="99"/>
    <cellStyle name="Normal 11 2" xfId="100"/>
    <cellStyle name="Normal 11 3" xfId="101"/>
    <cellStyle name="Normal 12" xfId="102"/>
    <cellStyle name="Normal 2" xfId="1"/>
    <cellStyle name="Normal 2 2" xfId="54"/>
    <cellStyle name="Normal 2 2 2" xfId="127"/>
    <cellStyle name="Normal 2 2 3" xfId="149"/>
    <cellStyle name="Normal 2 3" xfId="53"/>
    <cellStyle name="Normal 3" xfId="3"/>
    <cellStyle name="Normal 3 2" xfId="103"/>
    <cellStyle name="Normal 4" xfId="41"/>
    <cellStyle name="Normal 4 2" xfId="49"/>
    <cellStyle name="Normal 4 2 2" xfId="104"/>
    <cellStyle name="Normal 4 2 3" xfId="130"/>
    <cellStyle name="Normal 4 3" xfId="105"/>
    <cellStyle name="Normal 4 4" xfId="128"/>
    <cellStyle name="Normal 4_Energy Model" xfId="50"/>
    <cellStyle name="Normal 5" xfId="51"/>
    <cellStyle name="Normal 5 2" xfId="106"/>
    <cellStyle name="Normal 5 3" xfId="131"/>
    <cellStyle name="Normal 6" xfId="107"/>
    <cellStyle name="Normal 6 2" xfId="138"/>
    <cellStyle name="Normal 6 3" xfId="139"/>
    <cellStyle name="Normal 7" xfId="108"/>
    <cellStyle name="Normal 8" xfId="109"/>
    <cellStyle name="Normal 9" xfId="110"/>
    <cellStyle name="Note 2" xfId="42"/>
    <cellStyle name="Note 2 2" xfId="111"/>
    <cellStyle name="Note 3" xfId="112"/>
    <cellStyle name="Note 3 2" xfId="113"/>
    <cellStyle name="Output 2" xfId="43"/>
    <cellStyle name="Output 2 2" xfId="114"/>
    <cellStyle name="Output 3" xfId="115"/>
    <cellStyle name="Output 3 2" xfId="116"/>
    <cellStyle name="Percent" xfId="150" builtinId="5"/>
    <cellStyle name="Percent 2" xfId="2"/>
    <cellStyle name="Percent 2 2" xfId="117"/>
    <cellStyle name="Percent 2 3" xfId="140"/>
    <cellStyle name="Percent 3" xfId="44"/>
    <cellStyle name="Percent 3 2" xfId="118"/>
    <cellStyle name="Percent 4" xfId="45"/>
    <cellStyle name="Percent 4 2" xfId="52"/>
    <cellStyle name="Percent 4 2 2" xfId="119"/>
    <cellStyle name="Percent 4 2 3" xfId="132"/>
    <cellStyle name="Percent 4 3" xfId="120"/>
    <cellStyle name="Percent 4 4" xfId="129"/>
    <cellStyle name="Percent 5" xfId="121"/>
    <cellStyle name="Style 1" xfId="141"/>
    <cellStyle name="Style 1 2" xfId="142"/>
    <cellStyle name="Style 1 2 2" xfId="143"/>
    <cellStyle name="Style 1 3" xfId="144"/>
    <cellStyle name="Style 1 3 2" xfId="145"/>
    <cellStyle name="Style 1 3 3" xfId="146"/>
    <cellStyle name="Style 1 4" xfId="147"/>
    <cellStyle name="Style 1 5" xfId="148"/>
    <cellStyle name="Title 2" xfId="46"/>
    <cellStyle name="Title 3" xfId="122"/>
    <cellStyle name="Total 2" xfId="47"/>
    <cellStyle name="Total 2 2" xfId="123"/>
    <cellStyle name="Total 3" xfId="124"/>
    <cellStyle name="Total 3 2" xfId="125"/>
    <cellStyle name="Warning Text 2" xfId="48"/>
    <cellStyle name="Warning Text 3" xfId="126"/>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'Report Tables'!$A$7</c:f>
              <c:strCache>
                <c:ptCount val="1"/>
                <c:pt idx="0">
                  <c:v>Development</c:v>
                </c:pt>
              </c:strCache>
            </c:strRef>
          </c:tx>
          <c:invertIfNegative val="0"/>
          <c:cat>
            <c:numRef>
              <c:f>'Report Graphs'!$B$2:$E$2</c:f>
              <c:numCache>
                <c:formatCode>General</c:formatCode>
                <c:ptCount val="4"/>
                <c:pt idx="0">
                  <c:v>1</c:v>
                </c:pt>
                <c:pt idx="1">
                  <c:v>10</c:v>
                </c:pt>
                <c:pt idx="2">
                  <c:v>50</c:v>
                </c:pt>
                <c:pt idx="3">
                  <c:v>100</c:v>
                </c:pt>
              </c:numCache>
            </c:numRef>
          </c:cat>
          <c:val>
            <c:numRef>
              <c:f>'Report Tables'!$B$7:$E$7</c:f>
              <c:numCache>
                <c:formatCode>"$"#,##0</c:formatCode>
                <c:ptCount val="4"/>
                <c:pt idx="0">
                  <c:v>5205</c:v>
                </c:pt>
                <c:pt idx="1">
                  <c:v>22990</c:v>
                </c:pt>
                <c:pt idx="2">
                  <c:v>31387</c:v>
                </c:pt>
                <c:pt idx="3">
                  <c:v>30857</c:v>
                </c:pt>
              </c:numCache>
            </c:numRef>
          </c:val>
        </c:ser>
        <c:ser>
          <c:idx val="1"/>
          <c:order val="1"/>
          <c:tx>
            <c:strRef>
              <c:f>'Report Tables'!$A$8</c:f>
              <c:strCache>
                <c:ptCount val="1"/>
                <c:pt idx="0">
                  <c:v>Infrastructure</c:v>
                </c:pt>
              </c:strCache>
            </c:strRef>
          </c:tx>
          <c:invertIfNegative val="0"/>
          <c:cat>
            <c:numRef>
              <c:f>'Report Graphs'!$B$2:$E$2</c:f>
              <c:numCache>
                <c:formatCode>General</c:formatCode>
                <c:ptCount val="4"/>
                <c:pt idx="0">
                  <c:v>1</c:v>
                </c:pt>
                <c:pt idx="1">
                  <c:v>10</c:v>
                </c:pt>
                <c:pt idx="2">
                  <c:v>50</c:v>
                </c:pt>
                <c:pt idx="3">
                  <c:v>100</c:v>
                </c:pt>
              </c:numCache>
            </c:numRef>
          </c:cat>
          <c:val>
            <c:numRef>
              <c:f>'Report Tables'!$B$8:$E$8</c:f>
              <c:numCache>
                <c:formatCode>"$"#,##0</c:formatCode>
                <c:ptCount val="4"/>
                <c:pt idx="0">
                  <c:v>1111</c:v>
                </c:pt>
                <c:pt idx="1">
                  <c:v>7850</c:v>
                </c:pt>
                <c:pt idx="2">
                  <c:v>16188</c:v>
                </c:pt>
                <c:pt idx="3">
                  <c:v>35610</c:v>
                </c:pt>
              </c:numCache>
            </c:numRef>
          </c:val>
        </c:ser>
        <c:ser>
          <c:idx val="3"/>
          <c:order val="2"/>
          <c:tx>
            <c:strRef>
              <c:f>'Report Tables'!$A$9</c:f>
              <c:strCache>
                <c:ptCount val="1"/>
                <c:pt idx="0">
                  <c:v>Mooring/Foundation</c:v>
                </c:pt>
              </c:strCache>
            </c:strRef>
          </c:tx>
          <c:spPr>
            <a:solidFill>
              <a:srgbClr val="FFC000"/>
            </a:solidFill>
          </c:spPr>
          <c:invertIfNegative val="0"/>
          <c:cat>
            <c:numRef>
              <c:f>'Report Graphs'!$B$2:$E$2</c:f>
              <c:numCache>
                <c:formatCode>General</c:formatCode>
                <c:ptCount val="4"/>
                <c:pt idx="0">
                  <c:v>1</c:v>
                </c:pt>
                <c:pt idx="1">
                  <c:v>10</c:v>
                </c:pt>
                <c:pt idx="2">
                  <c:v>50</c:v>
                </c:pt>
                <c:pt idx="3">
                  <c:v>100</c:v>
                </c:pt>
              </c:numCache>
            </c:numRef>
          </c:cat>
          <c:val>
            <c:numRef>
              <c:f>'Report Tables'!$B$9:$E$9</c:f>
              <c:numCache>
                <c:formatCode>"$"#,##0</c:formatCode>
                <c:ptCount val="4"/>
                <c:pt idx="0">
                  <c:v>835</c:v>
                </c:pt>
                <c:pt idx="1">
                  <c:v>7442</c:v>
                </c:pt>
                <c:pt idx="2">
                  <c:v>36179</c:v>
                </c:pt>
                <c:pt idx="3">
                  <c:v>70300</c:v>
                </c:pt>
              </c:numCache>
            </c:numRef>
          </c:val>
        </c:ser>
        <c:ser>
          <c:idx val="4"/>
          <c:order val="3"/>
          <c:tx>
            <c:strRef>
              <c:f>'Report Tables'!$A$10</c:f>
              <c:strCache>
                <c:ptCount val="1"/>
                <c:pt idx="0">
                  <c:v>Device Structural Components</c:v>
                </c:pt>
              </c:strCache>
            </c:strRef>
          </c:tx>
          <c:spPr>
            <a:solidFill>
              <a:srgbClr val="00B050"/>
            </a:solidFill>
          </c:spPr>
          <c:invertIfNegative val="0"/>
          <c:cat>
            <c:numRef>
              <c:f>'Report Graphs'!$B$2:$E$2</c:f>
              <c:numCache>
                <c:formatCode>General</c:formatCode>
                <c:ptCount val="4"/>
                <c:pt idx="0">
                  <c:v>1</c:v>
                </c:pt>
                <c:pt idx="1">
                  <c:v>10</c:v>
                </c:pt>
                <c:pt idx="2">
                  <c:v>50</c:v>
                </c:pt>
                <c:pt idx="3">
                  <c:v>100</c:v>
                </c:pt>
              </c:numCache>
            </c:numRef>
          </c:cat>
          <c:val>
            <c:numRef>
              <c:f>'Report Tables'!$B$10:$E$10</c:f>
              <c:numCache>
                <c:formatCode>"$"#,##0</c:formatCode>
                <c:ptCount val="4"/>
                <c:pt idx="0">
                  <c:v>7682</c:v>
                </c:pt>
                <c:pt idx="1">
                  <c:v>54017</c:v>
                </c:pt>
                <c:pt idx="2">
                  <c:v>239250</c:v>
                </c:pt>
                <c:pt idx="3">
                  <c:v>464862</c:v>
                </c:pt>
              </c:numCache>
            </c:numRef>
          </c:val>
        </c:ser>
        <c:ser>
          <c:idx val="5"/>
          <c:order val="4"/>
          <c:tx>
            <c:strRef>
              <c:f>'Report Tables'!$A$11</c:f>
              <c:strCache>
                <c:ptCount val="1"/>
                <c:pt idx="0">
                  <c:v>Power Conversion Chain</c:v>
                </c:pt>
              </c:strCache>
            </c:strRef>
          </c:tx>
          <c:invertIfNegative val="0"/>
          <c:cat>
            <c:numRef>
              <c:f>'Report Graphs'!$B$2:$E$2</c:f>
              <c:numCache>
                <c:formatCode>General</c:formatCode>
                <c:ptCount val="4"/>
                <c:pt idx="0">
                  <c:v>1</c:v>
                </c:pt>
                <c:pt idx="1">
                  <c:v>10</c:v>
                </c:pt>
                <c:pt idx="2">
                  <c:v>50</c:v>
                </c:pt>
                <c:pt idx="3">
                  <c:v>100</c:v>
                </c:pt>
              </c:numCache>
            </c:numRef>
          </c:cat>
          <c:val>
            <c:numRef>
              <c:f>'Report Tables'!$B$11:$E$11</c:f>
              <c:numCache>
                <c:formatCode>"$"#,##0</c:formatCode>
                <c:ptCount val="4"/>
                <c:pt idx="0">
                  <c:v>1637</c:v>
                </c:pt>
                <c:pt idx="1">
                  <c:v>9749</c:v>
                </c:pt>
                <c:pt idx="2">
                  <c:v>34184</c:v>
                </c:pt>
                <c:pt idx="3">
                  <c:v>58813</c:v>
                </c:pt>
              </c:numCache>
            </c:numRef>
          </c:val>
        </c:ser>
        <c:ser>
          <c:idx val="2"/>
          <c:order val="5"/>
          <c:tx>
            <c:strRef>
              <c:f>'Report Tables'!$A$12</c:f>
              <c:strCache>
                <c:ptCount val="1"/>
                <c:pt idx="0">
                  <c:v>Subsystem Integration &amp; Profit Margin</c:v>
                </c:pt>
              </c:strCache>
            </c:strRef>
          </c:tx>
          <c:invertIfNegative val="0"/>
          <c:cat>
            <c:numRef>
              <c:f>'Report Graphs'!$B$2:$E$2</c:f>
              <c:numCache>
                <c:formatCode>General</c:formatCode>
                <c:ptCount val="4"/>
                <c:pt idx="0">
                  <c:v>1</c:v>
                </c:pt>
                <c:pt idx="1">
                  <c:v>10</c:v>
                </c:pt>
                <c:pt idx="2">
                  <c:v>50</c:v>
                </c:pt>
                <c:pt idx="3">
                  <c:v>100</c:v>
                </c:pt>
              </c:numCache>
            </c:numRef>
          </c:cat>
          <c:val>
            <c:numRef>
              <c:f>'Report Tables'!$B$12:$E$12</c:f>
              <c:numCache>
                <c:formatCode>"$"#,##0</c:formatCode>
                <c:ptCount val="4"/>
                <c:pt idx="0">
                  <c:v>932</c:v>
                </c:pt>
                <c:pt idx="1">
                  <c:v>6377</c:v>
                </c:pt>
                <c:pt idx="2">
                  <c:v>27343</c:v>
                </c:pt>
                <c:pt idx="3">
                  <c:v>52367</c:v>
                </c:pt>
              </c:numCache>
            </c:numRef>
          </c:val>
        </c:ser>
        <c:ser>
          <c:idx val="6"/>
          <c:order val="6"/>
          <c:tx>
            <c:strRef>
              <c:f>'Report Tables'!$A$13</c:f>
              <c:strCache>
                <c:ptCount val="1"/>
                <c:pt idx="0">
                  <c:v>Installation</c:v>
                </c:pt>
              </c:strCache>
            </c:strRef>
          </c:tx>
          <c:invertIfNegative val="0"/>
          <c:cat>
            <c:numRef>
              <c:f>'Report Graphs'!$B$2:$E$2</c:f>
              <c:numCache>
                <c:formatCode>General</c:formatCode>
                <c:ptCount val="4"/>
                <c:pt idx="0">
                  <c:v>1</c:v>
                </c:pt>
                <c:pt idx="1">
                  <c:v>10</c:v>
                </c:pt>
                <c:pt idx="2">
                  <c:v>50</c:v>
                </c:pt>
                <c:pt idx="3">
                  <c:v>100</c:v>
                </c:pt>
              </c:numCache>
            </c:numRef>
          </c:cat>
          <c:val>
            <c:numRef>
              <c:f>'Report Tables'!$B$13:$E$13</c:f>
              <c:numCache>
                <c:formatCode>"$"#,##0</c:formatCode>
                <c:ptCount val="4"/>
                <c:pt idx="0">
                  <c:v>5909</c:v>
                </c:pt>
                <c:pt idx="1">
                  <c:v>9082</c:v>
                </c:pt>
                <c:pt idx="2">
                  <c:v>21531</c:v>
                </c:pt>
                <c:pt idx="3">
                  <c:v>37860</c:v>
                </c:pt>
              </c:numCache>
            </c:numRef>
          </c:val>
        </c:ser>
        <c:ser>
          <c:idx val="7"/>
          <c:order val="7"/>
          <c:tx>
            <c:strRef>
              <c:f>'Report Tables'!$A$14</c:f>
              <c:strCache>
                <c:ptCount val="1"/>
                <c:pt idx="0">
                  <c:v>Contingency</c:v>
                </c:pt>
              </c:strCache>
            </c:strRef>
          </c:tx>
          <c:invertIfNegative val="0"/>
          <c:cat>
            <c:numRef>
              <c:f>'Report Graphs'!$B$2:$E$2</c:f>
              <c:numCache>
                <c:formatCode>General</c:formatCode>
                <c:ptCount val="4"/>
                <c:pt idx="0">
                  <c:v>1</c:v>
                </c:pt>
                <c:pt idx="1">
                  <c:v>10</c:v>
                </c:pt>
                <c:pt idx="2">
                  <c:v>50</c:v>
                </c:pt>
                <c:pt idx="3">
                  <c:v>100</c:v>
                </c:pt>
              </c:numCache>
            </c:numRef>
          </c:cat>
          <c:val>
            <c:numRef>
              <c:f>'Report Tables'!$B$14:$E$14</c:f>
              <c:numCache>
                <c:formatCode>"$"#,##0</c:formatCode>
                <c:ptCount val="4"/>
                <c:pt idx="0">
                  <c:v>2331</c:v>
                </c:pt>
                <c:pt idx="1">
                  <c:v>11751</c:v>
                </c:pt>
                <c:pt idx="2">
                  <c:v>40606</c:v>
                </c:pt>
                <c:pt idx="3">
                  <c:v>75067</c:v>
                </c:pt>
              </c:numCache>
            </c:numRef>
          </c:val>
        </c:ser>
        <c:dLbls>
          <c:showLegendKey val="0"/>
          <c:showVal val="0"/>
          <c:showCatName val="0"/>
          <c:showSerName val="0"/>
          <c:showPercent val="0"/>
          <c:showBubbleSize val="0"/>
        </c:dLbls>
        <c:gapWidth val="150"/>
        <c:overlap val="100"/>
        <c:axId val="129338368"/>
        <c:axId val="147113472"/>
      </c:barChart>
      <c:catAx>
        <c:axId val="129338368"/>
        <c:scaling>
          <c:orientation val="minMax"/>
        </c:scaling>
        <c:delete val="0"/>
        <c:axPos val="b"/>
        <c:majorGridlines>
          <c:spPr>
            <a:ln>
              <a:solidFill>
                <a:schemeClr val="bg1">
                  <a:lumMod val="85000"/>
                </a:schemeClr>
              </a:solidFill>
            </a:ln>
          </c:spPr>
        </c:majorGridlines>
        <c:title>
          <c:tx>
            <c:rich>
              <a:bodyPr/>
              <a:lstStyle/>
              <a:p>
                <a:pPr>
                  <a:defRPr/>
                </a:pPr>
                <a:r>
                  <a:rPr lang="en-US" baseline="0"/>
                  <a:t># of Units</a:t>
                </a:r>
              </a:p>
            </c:rich>
          </c:tx>
          <c:overlay val="0"/>
        </c:title>
        <c:numFmt formatCode="0" sourceLinked="0"/>
        <c:majorTickMark val="out"/>
        <c:minorTickMark val="none"/>
        <c:tickLblPos val="nextTo"/>
        <c:crossAx val="147113472"/>
        <c:crosses val="autoZero"/>
        <c:auto val="1"/>
        <c:lblAlgn val="ctr"/>
        <c:lblOffset val="100"/>
        <c:noMultiLvlLbl val="0"/>
      </c:catAx>
      <c:valAx>
        <c:axId val="147113472"/>
        <c:scaling>
          <c:orientation val="minMax"/>
          <c:min val="0"/>
        </c:scaling>
        <c:delete val="0"/>
        <c:axPos val="l"/>
        <c:majorGridlines>
          <c:spPr>
            <a:ln>
              <a:solidFill>
                <a:schemeClr val="bg1">
                  <a:lumMod val="85000"/>
                </a:schemeClr>
              </a:solidFill>
            </a:ln>
          </c:spPr>
        </c:majorGridlines>
        <c:title>
          <c:tx>
            <c:strRef>
              <c:f>'Report Tables'!$A$4</c:f>
              <c:strCache>
                <c:ptCount val="1"/>
                <c:pt idx="0">
                  <c:v>Total Cost in Thousands ($)</c:v>
                </c:pt>
              </c:strCache>
            </c:strRef>
          </c:tx>
          <c:overlay val="0"/>
          <c:txPr>
            <a:bodyPr rot="-5400000" vert="horz"/>
            <a:lstStyle/>
            <a:p>
              <a:pPr>
                <a:defRPr/>
              </a:pPr>
              <a:endParaRPr lang="en-US"/>
            </a:p>
          </c:txPr>
        </c:title>
        <c:numFmt formatCode="&quot;$&quot;#,##0" sourceLinked="1"/>
        <c:majorTickMark val="out"/>
        <c:minorTickMark val="none"/>
        <c:tickLblPos val="nextTo"/>
        <c:crossAx val="129338368"/>
        <c:crosses val="autoZero"/>
        <c:crossBetween val="between"/>
      </c:valAx>
    </c:plotArea>
    <c:legend>
      <c:legendPos val="r"/>
      <c:overlay val="0"/>
    </c:legend>
    <c:plotVisOnly val="1"/>
    <c:dispBlanksAs val="gap"/>
    <c:showDLblsOverMax val="0"/>
  </c:chart>
  <c:spPr>
    <a:solidFill>
      <a:sysClr val="window" lastClr="FFFFFF"/>
    </a:solidFill>
    <a:ln>
      <a:noFill/>
    </a:ln>
  </c:spPr>
  <c:printSettings>
    <c:headerFooter/>
    <c:pageMargins b="0.75000000000000133" l="0.70000000000000062" r="0.70000000000000062" t="0.750000000000001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0068620063272E-2"/>
          <c:y val="3.7855439125480755E-2"/>
          <c:w val="0.85855879665527435"/>
          <c:h val="0.81786333241008347"/>
        </c:manualLayout>
      </c:layout>
      <c:scatterChart>
        <c:scatterStyle val="smoothMarker"/>
        <c:varyColors val="0"/>
        <c:ser>
          <c:idx val="0"/>
          <c:order val="0"/>
          <c:spPr>
            <a:ln w="31750">
              <a:solidFill>
                <a:srgbClr val="0070C0"/>
              </a:solidFill>
              <a:prstDash val="solid"/>
            </a:ln>
          </c:spPr>
          <c:marker>
            <c:symbol val="none"/>
          </c:marker>
          <c:xVal>
            <c:numRef>
              <c:f>'Report Graphs'!$B$216:$U$216</c:f>
              <c:numCache>
                <c:formatCode>General</c:formatCode>
                <c:ptCount val="20"/>
              </c:numCache>
            </c:numRef>
          </c:xVal>
          <c:yVal>
            <c:numRef>
              <c:f>'Report Graphs'!$B$217:$U$217</c:f>
              <c:numCache>
                <c:formatCode>0%</c:formatCode>
                <c:ptCount val="20"/>
              </c:numCache>
            </c:numRef>
          </c:yVal>
          <c:smooth val="1"/>
        </c:ser>
        <c:ser>
          <c:idx val="1"/>
          <c:order val="1"/>
          <c:spPr>
            <a:ln>
              <a:prstDash val="dash"/>
            </a:ln>
          </c:spPr>
          <c:marker>
            <c:symbol val="none"/>
          </c:marker>
          <c:xVal>
            <c:numRef>
              <c:f>('Report Graphs'!$B$221,'Report Graphs'!$B$221)</c:f>
              <c:numCache>
                <c:formatCode>#,##0.00</c:formatCode>
                <c:ptCount val="2"/>
              </c:numCache>
            </c:numRef>
          </c:xVal>
          <c:yVal>
            <c:numRef>
              <c:f>('Report Graphs'!$B$217,'Report Graphs'!$U$217)</c:f>
              <c:numCache>
                <c:formatCode>0%</c:formatCode>
                <c:ptCount val="2"/>
              </c:numCache>
            </c:numRef>
          </c:yVal>
          <c:smooth val="1"/>
        </c:ser>
        <c:ser>
          <c:idx val="2"/>
          <c:order val="2"/>
          <c:spPr>
            <a:ln>
              <a:prstDash val="dash"/>
            </a:ln>
          </c:spPr>
          <c:marker>
            <c:symbol val="none"/>
          </c:marker>
          <c:xVal>
            <c:numRef>
              <c:f>('Report Graphs'!$B$223,'Report Graphs'!$B$223)</c:f>
              <c:numCache>
                <c:formatCode>#,##0.00</c:formatCode>
                <c:ptCount val="2"/>
              </c:numCache>
            </c:numRef>
          </c:xVal>
          <c:yVal>
            <c:numRef>
              <c:f>('Report Graphs'!$B$217,'Report Graphs'!$U$217)</c:f>
              <c:numCache>
                <c:formatCode>0%</c:formatCode>
                <c:ptCount val="2"/>
              </c:numCache>
            </c:numRef>
          </c:yVal>
          <c:smooth val="1"/>
        </c:ser>
        <c:dLbls>
          <c:showLegendKey val="0"/>
          <c:showVal val="0"/>
          <c:showCatName val="0"/>
          <c:showSerName val="0"/>
          <c:showPercent val="0"/>
          <c:showBubbleSize val="0"/>
        </c:dLbls>
        <c:axId val="123996032"/>
        <c:axId val="124014592"/>
      </c:scatterChart>
      <c:valAx>
        <c:axId val="123996032"/>
        <c:scaling>
          <c:orientation val="minMax"/>
          <c:min val="10"/>
        </c:scaling>
        <c:delete val="0"/>
        <c:axPos val="b"/>
        <c:majorGridlines>
          <c:spPr>
            <a:ln>
              <a:solidFill>
                <a:schemeClr val="bg1">
                  <a:lumMod val="85000"/>
                </a:schemeClr>
              </a:solidFill>
            </a:ln>
          </c:spPr>
        </c:majorGridlines>
        <c:title>
          <c:tx>
            <c:rich>
              <a:bodyPr/>
              <a:lstStyle/>
              <a:p>
                <a:pPr>
                  <a:defRPr/>
                </a:pPr>
                <a:r>
                  <a:rPr lang="en-US"/>
                  <a:t>Cost of Electricity (cents / kWh)</a:t>
                </a:r>
              </a:p>
            </c:rich>
          </c:tx>
          <c:overlay val="0"/>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4014592"/>
        <c:crosses val="autoZero"/>
        <c:crossBetween val="midCat"/>
      </c:valAx>
      <c:valAx>
        <c:axId val="124014592"/>
        <c:scaling>
          <c:orientation val="minMax"/>
          <c:max val="1"/>
          <c:min val="0"/>
        </c:scaling>
        <c:delete val="0"/>
        <c:axPos val="l"/>
        <c:majorGridlines>
          <c:spPr>
            <a:ln>
              <a:solidFill>
                <a:schemeClr val="bg1">
                  <a:lumMod val="85000"/>
                </a:schemeClr>
              </a:solidFill>
            </a:ln>
          </c:spPr>
        </c:majorGridlines>
        <c:title>
          <c:tx>
            <c:rich>
              <a:bodyPr rot="-5400000" vert="horz"/>
              <a:lstStyle/>
              <a:p>
                <a:pPr>
                  <a:defRPr/>
                </a:pPr>
                <a:r>
                  <a:rPr lang="en-US"/>
                  <a:t>Cumulative Probability</a:t>
                </a:r>
              </a:p>
            </c:rich>
          </c:tx>
          <c:layout>
            <c:manualLayout>
              <c:xMode val="edge"/>
              <c:yMode val="edge"/>
              <c:x val="1.45630339896833E-2"/>
              <c:y val="0.26342025086060261"/>
            </c:manualLayout>
          </c:layout>
          <c:overlay val="0"/>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996032"/>
        <c:crosses val="autoZero"/>
        <c:crossBetween val="midCat"/>
      </c:valAx>
      <c:spPr>
        <a:solidFill>
          <a:srgbClr val="FFFFFF"/>
        </a:solidFill>
        <a:ln w="3175">
          <a:solidFill>
            <a:srgbClr val="00000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'Report Tables'!$A$92</c:f>
              <c:strCache>
                <c:ptCount val="1"/>
                <c:pt idx="0">
                  <c:v>Device</c:v>
                </c:pt>
              </c:strCache>
            </c:strRef>
          </c:tx>
          <c:invertIfNegative val="0"/>
          <c:cat>
            <c:numRef>
              <c:f>'Report Graphs'!$C$2:$E$2</c:f>
              <c:numCache>
                <c:formatCode>General</c:formatCode>
                <c:ptCount val="3"/>
                <c:pt idx="0">
                  <c:v>10</c:v>
                </c:pt>
                <c:pt idx="1">
                  <c:v>50</c:v>
                </c:pt>
                <c:pt idx="2">
                  <c:v>100</c:v>
                </c:pt>
              </c:numCache>
            </c:numRef>
          </c:cat>
          <c:val>
            <c:numRef>
              <c:f>('Report Tables'!$B$92,'Report Tables'!$D$92,'Report Tables'!$F$92)</c:f>
              <c:numCache>
                <c:formatCode>0.0</c:formatCode>
                <c:ptCount val="3"/>
                <c:pt idx="0">
                  <c:v>92.732889730250022</c:v>
                </c:pt>
                <c:pt idx="1">
                  <c:v>80.549752989947564</c:v>
                </c:pt>
                <c:pt idx="2">
                  <c:v>77.25449220079264</c:v>
                </c:pt>
              </c:numCache>
            </c:numRef>
          </c:val>
        </c:ser>
        <c:ser>
          <c:idx val="1"/>
          <c:order val="1"/>
          <c:tx>
            <c:strRef>
              <c:f>'Report Tables'!$A$93</c:f>
              <c:strCache>
                <c:ptCount val="1"/>
                <c:pt idx="0">
                  <c:v>Infrastructure</c:v>
                </c:pt>
              </c:strCache>
            </c:strRef>
          </c:tx>
          <c:invertIfNegative val="0"/>
          <c:cat>
            <c:numRef>
              <c:f>'Report Graphs'!$C$2:$E$2</c:f>
              <c:numCache>
                <c:formatCode>General</c:formatCode>
                <c:ptCount val="3"/>
                <c:pt idx="0">
                  <c:v>10</c:v>
                </c:pt>
                <c:pt idx="1">
                  <c:v>50</c:v>
                </c:pt>
                <c:pt idx="2">
                  <c:v>100</c:v>
                </c:pt>
              </c:numCache>
            </c:numRef>
          </c:cat>
          <c:val>
            <c:numRef>
              <c:f>('Report Tables'!$B$93,'Report Tables'!$D$93,'Report Tables'!$F$93)</c:f>
              <c:numCache>
                <c:formatCode>0.0</c:formatCode>
                <c:ptCount val="3"/>
                <c:pt idx="0">
                  <c:v>9.3827642464954799</c:v>
                </c:pt>
                <c:pt idx="1">
                  <c:v>3.8697627419686329</c:v>
                </c:pt>
                <c:pt idx="2">
                  <c:v>4.2563087237924089</c:v>
                </c:pt>
              </c:numCache>
            </c:numRef>
          </c:val>
        </c:ser>
        <c:ser>
          <c:idx val="3"/>
          <c:order val="2"/>
          <c:tx>
            <c:strRef>
              <c:f>'Report Tables'!$A$94</c:f>
              <c:strCache>
                <c:ptCount val="1"/>
                <c:pt idx="0">
                  <c:v>Development</c:v>
                </c:pt>
              </c:strCache>
            </c:strRef>
          </c:tx>
          <c:spPr>
            <a:solidFill>
              <a:srgbClr val="FFC000"/>
            </a:solidFill>
          </c:spPr>
          <c:invertIfNegative val="0"/>
          <c:cat>
            <c:numRef>
              <c:f>'Report Graphs'!$C$2:$E$2</c:f>
              <c:numCache>
                <c:formatCode>General</c:formatCode>
                <c:ptCount val="3"/>
                <c:pt idx="0">
                  <c:v>10</c:v>
                </c:pt>
                <c:pt idx="1">
                  <c:v>50</c:v>
                </c:pt>
                <c:pt idx="2">
                  <c:v>100</c:v>
                </c:pt>
              </c:numCache>
            </c:numRef>
          </c:cat>
          <c:val>
            <c:numRef>
              <c:f>('Report Tables'!$B$94,'Report Tables'!$D$94,'Report Tables'!$F$94)</c:f>
              <c:numCache>
                <c:formatCode>0.0</c:formatCode>
                <c:ptCount val="3"/>
                <c:pt idx="0">
                  <c:v>27.479032228795905</c:v>
                </c:pt>
                <c:pt idx="1">
                  <c:v>7.5031192204316524</c:v>
                </c:pt>
                <c:pt idx="2">
                  <c:v>3.6882547507350529</c:v>
                </c:pt>
              </c:numCache>
            </c:numRef>
          </c:val>
        </c:ser>
        <c:ser>
          <c:idx val="4"/>
          <c:order val="3"/>
          <c:tx>
            <c:strRef>
              <c:f>'Report Tables'!$A$95</c:f>
              <c:strCache>
                <c:ptCount val="1"/>
                <c:pt idx="0">
                  <c:v>Installation</c:v>
                </c:pt>
              </c:strCache>
            </c:strRef>
          </c:tx>
          <c:spPr>
            <a:solidFill>
              <a:srgbClr val="00B050"/>
            </a:solidFill>
          </c:spPr>
          <c:invertIfNegative val="0"/>
          <c:cat>
            <c:numRef>
              <c:f>'Report Graphs'!$C$2:$E$2</c:f>
              <c:numCache>
                <c:formatCode>General</c:formatCode>
                <c:ptCount val="3"/>
                <c:pt idx="0">
                  <c:v>10</c:v>
                </c:pt>
                <c:pt idx="1">
                  <c:v>50</c:v>
                </c:pt>
                <c:pt idx="2">
                  <c:v>100</c:v>
                </c:pt>
              </c:numCache>
            </c:numRef>
          </c:cat>
          <c:val>
            <c:numRef>
              <c:f>('Report Tables'!$B$95,'Report Tables'!$D$95,'Report Tables'!$F$95)</c:f>
              <c:numCache>
                <c:formatCode>0.0</c:formatCode>
                <c:ptCount val="3"/>
                <c:pt idx="0">
                  <c:v>10.855288281729731</c:v>
                </c:pt>
                <c:pt idx="1">
                  <c:v>5.1470678129388405</c:v>
                </c:pt>
                <c:pt idx="2">
                  <c:v>4.5251925298076561</c:v>
                </c:pt>
              </c:numCache>
            </c:numRef>
          </c:val>
        </c:ser>
        <c:ser>
          <c:idx val="5"/>
          <c:order val="4"/>
          <c:tx>
            <c:strRef>
              <c:f>'Report Tables'!$A$96</c:f>
              <c:strCache>
                <c:ptCount val="1"/>
                <c:pt idx="0">
                  <c:v>Contingency</c:v>
                </c:pt>
              </c:strCache>
            </c:strRef>
          </c:tx>
          <c:invertIfNegative val="0"/>
          <c:cat>
            <c:numRef>
              <c:f>'Report Graphs'!$C$2:$E$2</c:f>
              <c:numCache>
                <c:formatCode>General</c:formatCode>
                <c:ptCount val="3"/>
                <c:pt idx="0">
                  <c:v>10</c:v>
                </c:pt>
                <c:pt idx="1">
                  <c:v>50</c:v>
                </c:pt>
                <c:pt idx="2">
                  <c:v>100</c:v>
                </c:pt>
              </c:numCache>
            </c:numRef>
          </c:cat>
          <c:val>
            <c:numRef>
              <c:f>('Report Tables'!$B$96,'Report Tables'!$D$96,'Report Tables'!$F$96)</c:f>
              <c:numCache>
                <c:formatCode>0.0</c:formatCode>
                <c:ptCount val="3"/>
                <c:pt idx="0">
                  <c:v>14.044997448727113</c:v>
                </c:pt>
                <c:pt idx="1">
                  <c:v>9.7069702765286703</c:v>
                </c:pt>
                <c:pt idx="2">
                  <c:v>8.9724248205127761</c:v>
                </c:pt>
              </c:numCache>
            </c:numRef>
          </c:val>
        </c:ser>
        <c:ser>
          <c:idx val="2"/>
          <c:order val="5"/>
          <c:tx>
            <c:strRef>
              <c:f>'Report Tables'!$A$97</c:f>
              <c:strCache>
                <c:ptCount val="1"/>
                <c:pt idx="0">
                  <c:v>Operation and Maintenance</c:v>
                </c:pt>
              </c:strCache>
            </c:strRef>
          </c:tx>
          <c:invertIfNegative val="0"/>
          <c:cat>
            <c:numRef>
              <c:f>'Report Graphs'!$C$2:$E$2</c:f>
              <c:numCache>
                <c:formatCode>General</c:formatCode>
                <c:ptCount val="3"/>
                <c:pt idx="0">
                  <c:v>10</c:v>
                </c:pt>
                <c:pt idx="1">
                  <c:v>50</c:v>
                </c:pt>
                <c:pt idx="2">
                  <c:v>100</c:v>
                </c:pt>
              </c:numCache>
            </c:numRef>
          </c:cat>
          <c:val>
            <c:numRef>
              <c:f>('Report Tables'!$B$97,'Report Tables'!$D$97,'Report Tables'!$F$97)</c:f>
              <c:numCache>
                <c:formatCode>0.0</c:formatCode>
                <c:ptCount val="3"/>
                <c:pt idx="0">
                  <c:v>43.499775380579202</c:v>
                </c:pt>
                <c:pt idx="1">
                  <c:v>13.604553812471632</c:v>
                </c:pt>
                <c:pt idx="2">
                  <c:v>7.623550407208322</c:v>
                </c:pt>
              </c:numCache>
            </c:numRef>
          </c:val>
        </c:ser>
        <c:dLbls>
          <c:showLegendKey val="0"/>
          <c:showVal val="0"/>
          <c:showCatName val="0"/>
          <c:showSerName val="0"/>
          <c:showPercent val="0"/>
          <c:showBubbleSize val="0"/>
        </c:dLbls>
        <c:gapWidth val="150"/>
        <c:overlap val="100"/>
        <c:axId val="124042624"/>
        <c:axId val="124073472"/>
      </c:barChart>
      <c:catAx>
        <c:axId val="124042624"/>
        <c:scaling>
          <c:orientation val="minMax"/>
        </c:scaling>
        <c:delete val="0"/>
        <c:axPos val="b"/>
        <c:majorGridlines>
          <c:spPr>
            <a:ln>
              <a:solidFill>
                <a:schemeClr val="bg1">
                  <a:lumMod val="85000"/>
                </a:schemeClr>
              </a:solidFill>
            </a:ln>
          </c:spPr>
        </c:majorGridlines>
        <c:title>
          <c:tx>
            <c:rich>
              <a:bodyPr/>
              <a:lstStyle/>
              <a:p>
                <a:pPr>
                  <a:defRPr/>
                </a:pPr>
                <a:r>
                  <a:rPr lang="en-US" baseline="0"/>
                  <a:t># of Units</a:t>
                </a:r>
              </a:p>
            </c:rich>
          </c:tx>
          <c:layout>
            <c:manualLayout>
              <c:xMode val="edge"/>
              <c:yMode val="edge"/>
              <c:x val="0.38175822733534792"/>
              <c:y val="0.91778647923440304"/>
            </c:manualLayout>
          </c:layout>
          <c:overlay val="0"/>
        </c:title>
        <c:numFmt formatCode="0" sourceLinked="0"/>
        <c:majorTickMark val="out"/>
        <c:minorTickMark val="none"/>
        <c:tickLblPos val="nextTo"/>
        <c:crossAx val="124073472"/>
        <c:crosses val="autoZero"/>
        <c:auto val="1"/>
        <c:lblAlgn val="ctr"/>
        <c:lblOffset val="100"/>
        <c:noMultiLvlLbl val="0"/>
      </c:catAx>
      <c:valAx>
        <c:axId val="124073472"/>
        <c:scaling>
          <c:orientation val="minMax"/>
          <c:min val="0"/>
        </c:scaling>
        <c:delete val="0"/>
        <c:axPos val="l"/>
        <c:majorGridlines>
          <c:spPr>
            <a:ln>
              <a:solidFill>
                <a:schemeClr val="bg1">
                  <a:lumMod val="85000"/>
                </a:schemeClr>
              </a:solidFill>
            </a:ln>
          </c:spPr>
        </c:majorGridlines>
        <c:title>
          <c:tx>
            <c:rich>
              <a:bodyPr rot="-5400000" vert="horz"/>
              <a:lstStyle/>
              <a:p>
                <a:pPr>
                  <a:defRPr/>
                </a:pPr>
                <a:r>
                  <a:rPr lang="en-US"/>
                  <a:t>LCoE (cents/kWh)</a:t>
                </a:r>
              </a:p>
            </c:rich>
          </c:tx>
          <c:layout>
            <c:manualLayout>
              <c:xMode val="edge"/>
              <c:yMode val="edge"/>
              <c:x val="9.1848450057405318E-3"/>
              <c:y val="0.31372635021380968"/>
            </c:manualLayout>
          </c:layout>
          <c:overlay val="0"/>
        </c:title>
        <c:numFmt formatCode="0.0" sourceLinked="1"/>
        <c:majorTickMark val="out"/>
        <c:minorTickMark val="none"/>
        <c:tickLblPos val="nextTo"/>
        <c:crossAx val="124042624"/>
        <c:crosses val="autoZero"/>
        <c:crossBetween val="between"/>
      </c:valAx>
    </c:plotArea>
    <c:legend>
      <c:legendPos val="r"/>
      <c:overlay val="0"/>
    </c:legend>
    <c:plotVisOnly val="1"/>
    <c:dispBlanksAs val="gap"/>
    <c:showDLblsOverMax val="0"/>
  </c:chart>
  <c:spPr>
    <a:solidFill>
      <a:sysClr val="window" lastClr="FFFFFF"/>
    </a:solidFill>
    <a:ln>
      <a:noFill/>
    </a:ln>
  </c:spPr>
  <c:printSettings>
    <c:headerFooter/>
    <c:pageMargins b="0.75000000000000133" l="0.70000000000000062" r="0.70000000000000062" t="0.750000000000001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'NEW Report Graphs and Tables'!$B$4</c:f>
              <c:strCache>
                <c:ptCount val="1"/>
                <c:pt idx="0">
                  <c:v>Backward Bent Duct Main Structure</c:v>
                </c:pt>
              </c:strCache>
            </c:strRef>
          </c:tx>
          <c:invertIfNegative val="0"/>
          <c:cat>
            <c:numRef>
              <c:f>'NEW Report Graphs and Tables'!$C$3:$F$3</c:f>
              <c:numCache>
                <c:formatCode>General</c:formatCode>
                <c:ptCount val="4"/>
                <c:pt idx="0">
                  <c:v>1</c:v>
                </c:pt>
                <c:pt idx="1">
                  <c:v>10</c:v>
                </c:pt>
                <c:pt idx="2">
                  <c:v>50</c:v>
                </c:pt>
                <c:pt idx="3">
                  <c:v>100</c:v>
                </c:pt>
              </c:numCache>
            </c:numRef>
          </c:cat>
          <c:val>
            <c:numRef>
              <c:f>'NEW Report Graphs and Tables'!$C$4:$F$4</c:f>
              <c:numCache>
                <c:formatCode>"$"#,##0</c:formatCode>
                <c:ptCount val="4"/>
                <c:pt idx="0">
                  <c:v>7612.5915434316357</c:v>
                </c:pt>
                <c:pt idx="1">
                  <c:v>5352.5116254691693</c:v>
                </c:pt>
                <c:pt idx="2">
                  <c:v>4741.4674882037534</c:v>
                </c:pt>
                <c:pt idx="3">
                  <c:v>4606.3327270777481</c:v>
                </c:pt>
              </c:numCache>
            </c:numRef>
          </c:val>
        </c:ser>
        <c:ser>
          <c:idx val="1"/>
          <c:order val="1"/>
          <c:tx>
            <c:strRef>
              <c:f>'NEW Report Graphs and Tables'!$B$5</c:f>
              <c:strCache>
                <c:ptCount val="1"/>
                <c:pt idx="0">
                  <c:v>Stern Float</c:v>
                </c:pt>
              </c:strCache>
            </c:strRef>
          </c:tx>
          <c:invertIfNegative val="0"/>
          <c:cat>
            <c:numRef>
              <c:f>'NEW Report Graphs and Tables'!$C$3:$F$3</c:f>
              <c:numCache>
                <c:formatCode>General</c:formatCode>
                <c:ptCount val="4"/>
                <c:pt idx="0">
                  <c:v>1</c:v>
                </c:pt>
                <c:pt idx="1">
                  <c:v>10</c:v>
                </c:pt>
                <c:pt idx="2">
                  <c:v>50</c:v>
                </c:pt>
                <c:pt idx="3">
                  <c:v>100</c:v>
                </c:pt>
              </c:numCache>
            </c:numRef>
          </c:cat>
          <c:val>
            <c:numRef>
              <c:f>'NEW Report Graphs and Tables'!$C$5:$F$5</c:f>
              <c:numCache>
                <c:formatCode>"$"#,##0</c:formatCode>
                <c:ptCount val="4"/>
                <c:pt idx="0">
                  <c:v>1256.7462989276141</c:v>
                </c:pt>
                <c:pt idx="1">
                  <c:v>883.63458579088478</c:v>
                </c:pt>
                <c:pt idx="2">
                  <c:v>782.75862868632714</c:v>
                </c:pt>
                <c:pt idx="3">
                  <c:v>760.44952278820369</c:v>
                </c:pt>
              </c:numCache>
            </c:numRef>
          </c:val>
        </c:ser>
        <c:ser>
          <c:idx val="2"/>
          <c:order val="2"/>
          <c:tx>
            <c:strRef>
              <c:f>'NEW Report Graphs and Tables'!$B$6</c:f>
              <c:strCache>
                <c:ptCount val="1"/>
                <c:pt idx="0">
                  <c:v>Bow Float</c:v>
                </c:pt>
              </c:strCache>
            </c:strRef>
          </c:tx>
          <c:invertIfNegative val="0"/>
          <c:cat>
            <c:numRef>
              <c:f>'NEW Report Graphs and Tables'!$C$3:$F$3</c:f>
              <c:numCache>
                <c:formatCode>General</c:formatCode>
                <c:ptCount val="4"/>
                <c:pt idx="0">
                  <c:v>1</c:v>
                </c:pt>
                <c:pt idx="1">
                  <c:v>10</c:v>
                </c:pt>
                <c:pt idx="2">
                  <c:v>50</c:v>
                </c:pt>
                <c:pt idx="3">
                  <c:v>100</c:v>
                </c:pt>
              </c:numCache>
            </c:numRef>
          </c:cat>
          <c:val>
            <c:numRef>
              <c:f>'NEW Report Graphs and Tables'!$C$6:$F$6</c:f>
              <c:numCache>
                <c:formatCode>"$"#,##0</c:formatCode>
                <c:ptCount val="4"/>
                <c:pt idx="0">
                  <c:v>1147.1599932975871</c:v>
                </c:pt>
                <c:pt idx="1">
                  <c:v>806.58303619302956</c:v>
                </c:pt>
                <c:pt idx="2">
                  <c:v>714.50330428954419</c:v>
                </c:pt>
                <c:pt idx="3">
                  <c:v>694.13951742627341</c:v>
                </c:pt>
              </c:numCache>
            </c:numRef>
          </c:val>
        </c:ser>
        <c:ser>
          <c:idx val="3"/>
          <c:order val="3"/>
          <c:tx>
            <c:strRef>
              <c:f>'NEW Report Graphs and Tables'!$B$7</c:f>
              <c:strCache>
                <c:ptCount val="1"/>
                <c:pt idx="0">
                  <c:v>Girders and Structural Supports</c:v>
                </c:pt>
              </c:strCache>
            </c:strRef>
          </c:tx>
          <c:invertIfNegative val="0"/>
          <c:cat>
            <c:numRef>
              <c:f>'NEW Report Graphs and Tables'!$C$3:$F$3</c:f>
              <c:numCache>
                <c:formatCode>General</c:formatCode>
                <c:ptCount val="4"/>
                <c:pt idx="0">
                  <c:v>1</c:v>
                </c:pt>
                <c:pt idx="1">
                  <c:v>10</c:v>
                </c:pt>
                <c:pt idx="2">
                  <c:v>50</c:v>
                </c:pt>
                <c:pt idx="3">
                  <c:v>100</c:v>
                </c:pt>
              </c:numCache>
            </c:numRef>
          </c:cat>
          <c:val>
            <c:numRef>
              <c:f>'NEW Report Graphs and Tables'!$C$7:$F$7</c:f>
              <c:numCache>
                <c:formatCode>"$"#,##0</c:formatCode>
                <c:ptCount val="4"/>
                <c:pt idx="0">
                  <c:v>10579.968905757496</c:v>
                </c:pt>
                <c:pt idx="1">
                  <c:v>7438.9130484783218</c:v>
                </c:pt>
                <c:pt idx="2">
                  <c:v>6589.6847751064824</c:v>
                </c:pt>
                <c:pt idx="3">
                  <c:v>6401.874676187711</c:v>
                </c:pt>
              </c:numCache>
            </c:numRef>
          </c:val>
        </c:ser>
        <c:dLbls>
          <c:showLegendKey val="0"/>
          <c:showVal val="0"/>
          <c:showCatName val="0"/>
          <c:showSerName val="0"/>
          <c:showPercent val="0"/>
          <c:showBubbleSize val="0"/>
        </c:dLbls>
        <c:gapWidth val="150"/>
        <c:overlap val="100"/>
        <c:axId val="124121472"/>
        <c:axId val="124123392"/>
      </c:barChart>
      <c:catAx>
        <c:axId val="124121472"/>
        <c:scaling>
          <c:orientation val="minMax"/>
        </c:scaling>
        <c:delete val="0"/>
        <c:axPos val="b"/>
        <c:title>
          <c:tx>
            <c:rich>
              <a:bodyPr/>
              <a:lstStyle/>
              <a:p>
                <a:pPr>
                  <a:defRPr/>
                </a:pPr>
                <a:r>
                  <a:rPr lang="en-US"/>
                  <a:t>Array Scale [#</a:t>
                </a:r>
                <a:r>
                  <a:rPr lang="en-US" baseline="0"/>
                  <a:t> of Units]</a:t>
                </a:r>
              </a:p>
            </c:rich>
          </c:tx>
          <c:overlay val="0"/>
        </c:title>
        <c:numFmt formatCode="General" sourceLinked="1"/>
        <c:majorTickMark val="out"/>
        <c:minorTickMark val="none"/>
        <c:tickLblPos val="nextTo"/>
        <c:crossAx val="124123392"/>
        <c:crosses val="autoZero"/>
        <c:auto val="1"/>
        <c:lblAlgn val="ctr"/>
        <c:lblOffset val="100"/>
        <c:noMultiLvlLbl val="0"/>
      </c:catAx>
      <c:valAx>
        <c:axId val="124123392"/>
        <c:scaling>
          <c:orientation val="minMax"/>
        </c:scaling>
        <c:delete val="0"/>
        <c:axPos val="l"/>
        <c:majorGridlines/>
        <c:title>
          <c:tx>
            <c:rich>
              <a:bodyPr rot="-5400000" vert="horz"/>
              <a:lstStyle/>
              <a:p>
                <a:pPr>
                  <a:defRPr/>
                </a:pPr>
                <a:r>
                  <a:rPr lang="en-US"/>
                  <a:t>Structure Component Cost [$/kW]</a:t>
                </a:r>
              </a:p>
            </c:rich>
          </c:tx>
          <c:overlay val="0"/>
        </c:title>
        <c:numFmt formatCode="&quot;$&quot;#,##0" sourceLinked="1"/>
        <c:majorTickMark val="out"/>
        <c:minorTickMark val="none"/>
        <c:tickLblPos val="nextTo"/>
        <c:crossAx val="1241214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'NEW Report Graphs and Tables'!$B$278</c:f>
              <c:strCache>
                <c:ptCount val="1"/>
                <c:pt idx="0">
                  <c:v>Development</c:v>
                </c:pt>
              </c:strCache>
            </c:strRef>
          </c:tx>
          <c:invertIfNegative val="0"/>
          <c:cat>
            <c:numRef>
              <c:f>'NEW Report Graphs and Tables'!$C$277:$F$277</c:f>
              <c:numCache>
                <c:formatCode>General</c:formatCode>
                <c:ptCount val="4"/>
                <c:pt idx="0">
                  <c:v>1</c:v>
                </c:pt>
                <c:pt idx="1">
                  <c:v>10</c:v>
                </c:pt>
                <c:pt idx="2">
                  <c:v>50</c:v>
                </c:pt>
                <c:pt idx="3">
                  <c:v>100</c:v>
                </c:pt>
              </c:numCache>
            </c:numRef>
          </c:cat>
          <c:val>
            <c:numRef>
              <c:f>'NEW Report Graphs and Tables'!$C$278:$F$278</c:f>
              <c:numCache>
                <c:formatCode>"$"#,##0.00</c:formatCode>
                <c:ptCount val="4"/>
                <c:pt idx="0">
                  <c:v>0.62213463174339745</c:v>
                </c:pt>
                <c:pt idx="1">
                  <c:v>0.27479032228795908</c:v>
                </c:pt>
                <c:pt idx="2">
                  <c:v>7.5031192204316519E-2</c:v>
                </c:pt>
                <c:pt idx="3">
                  <c:v>3.6882547507350531E-2</c:v>
                </c:pt>
              </c:numCache>
            </c:numRef>
          </c:val>
        </c:ser>
        <c:ser>
          <c:idx val="1"/>
          <c:order val="1"/>
          <c:tx>
            <c:strRef>
              <c:f>'NEW Report Graphs and Tables'!$B$279</c:f>
              <c:strCache>
                <c:ptCount val="1"/>
                <c:pt idx="0">
                  <c:v>Infrastructure</c:v>
                </c:pt>
              </c:strCache>
            </c:strRef>
          </c:tx>
          <c:invertIfNegative val="0"/>
          <c:cat>
            <c:numRef>
              <c:f>'NEW Report Graphs and Tables'!$C$277:$F$277</c:f>
              <c:numCache>
                <c:formatCode>General</c:formatCode>
                <c:ptCount val="4"/>
                <c:pt idx="0">
                  <c:v>1</c:v>
                </c:pt>
                <c:pt idx="1">
                  <c:v>10</c:v>
                </c:pt>
                <c:pt idx="2">
                  <c:v>50</c:v>
                </c:pt>
                <c:pt idx="3">
                  <c:v>100</c:v>
                </c:pt>
              </c:numCache>
            </c:numRef>
          </c:cat>
          <c:val>
            <c:numRef>
              <c:f>'NEW Report Graphs and Tables'!$C$279:$F$279</c:f>
              <c:numCache>
                <c:formatCode>"$"#,##0.00</c:formatCode>
                <c:ptCount val="4"/>
                <c:pt idx="0">
                  <c:v>0.13279300736122901</c:v>
                </c:pt>
                <c:pt idx="1">
                  <c:v>9.38276424649548E-2</c:v>
                </c:pt>
                <c:pt idx="2">
                  <c:v>3.8697627419686326E-2</c:v>
                </c:pt>
                <c:pt idx="3">
                  <c:v>4.256308723792409E-2</c:v>
                </c:pt>
              </c:numCache>
            </c:numRef>
          </c:val>
        </c:ser>
        <c:ser>
          <c:idx val="2"/>
          <c:order val="2"/>
          <c:tx>
            <c:strRef>
              <c:f>'NEW Report Graphs and Tables'!$B$280</c:f>
              <c:strCache>
                <c:ptCount val="1"/>
                <c:pt idx="0">
                  <c:v>Mooring/Foundation</c:v>
                </c:pt>
              </c:strCache>
            </c:strRef>
          </c:tx>
          <c:invertIfNegative val="0"/>
          <c:cat>
            <c:numRef>
              <c:f>'NEW Report Graphs and Tables'!$C$277:$F$277</c:f>
              <c:numCache>
                <c:formatCode>General</c:formatCode>
                <c:ptCount val="4"/>
                <c:pt idx="0">
                  <c:v>1</c:v>
                </c:pt>
                <c:pt idx="1">
                  <c:v>10</c:v>
                </c:pt>
                <c:pt idx="2">
                  <c:v>50</c:v>
                </c:pt>
                <c:pt idx="3">
                  <c:v>100</c:v>
                </c:pt>
              </c:numCache>
            </c:numRef>
          </c:cat>
          <c:val>
            <c:numRef>
              <c:f>'NEW Report Graphs and Tables'!$C$280:$F$280</c:f>
              <c:numCache>
                <c:formatCode>"$"#,##0.00</c:formatCode>
                <c:ptCount val="4"/>
                <c:pt idx="0">
                  <c:v>9.9822126093535496E-2</c:v>
                </c:pt>
                <c:pt idx="1">
                  <c:v>8.8946172320146968E-2</c:v>
                </c:pt>
                <c:pt idx="2">
                  <c:v>8.6486334253995698E-2</c:v>
                </c:pt>
                <c:pt idx="3">
                  <c:v>8.4026496187844385E-2</c:v>
                </c:pt>
              </c:numCache>
            </c:numRef>
          </c:val>
        </c:ser>
        <c:ser>
          <c:idx val="3"/>
          <c:order val="3"/>
          <c:tx>
            <c:strRef>
              <c:f>'NEW Report Graphs and Tables'!$B$281</c:f>
              <c:strCache>
                <c:ptCount val="1"/>
                <c:pt idx="0">
                  <c:v>Device Structural Components</c:v>
                </c:pt>
              </c:strCache>
            </c:strRef>
          </c:tx>
          <c:invertIfNegative val="0"/>
          <c:cat>
            <c:numRef>
              <c:f>'NEW Report Graphs and Tables'!$C$277:$F$277</c:f>
              <c:numCache>
                <c:formatCode>General</c:formatCode>
                <c:ptCount val="4"/>
                <c:pt idx="0">
                  <c:v>1</c:v>
                </c:pt>
                <c:pt idx="1">
                  <c:v>10</c:v>
                </c:pt>
                <c:pt idx="2">
                  <c:v>50</c:v>
                </c:pt>
                <c:pt idx="3">
                  <c:v>100</c:v>
                </c:pt>
              </c:numCache>
            </c:numRef>
          </c:cat>
          <c:val>
            <c:numRef>
              <c:f>'NEW Report Graphs and Tables'!$C$281:$F$281</c:f>
              <c:numCache>
                <c:formatCode>"$"#,##0.00</c:formatCode>
                <c:ptCount val="4"/>
                <c:pt idx="0">
                  <c:v>0.91825373657404352</c:v>
                </c:pt>
                <c:pt idx="1">
                  <c:v>0.64563608491300783</c:v>
                </c:pt>
                <c:pt idx="2">
                  <c:v>0.57193009936860295</c:v>
                </c:pt>
                <c:pt idx="3">
                  <c:v>0.55562973718089803</c:v>
                </c:pt>
              </c:numCache>
            </c:numRef>
          </c:val>
        </c:ser>
        <c:ser>
          <c:idx val="4"/>
          <c:order val="4"/>
          <c:tx>
            <c:strRef>
              <c:f>'NEW Report Graphs and Tables'!$B$282</c:f>
              <c:strCache>
                <c:ptCount val="1"/>
                <c:pt idx="0">
                  <c:v>Power Take Off</c:v>
                </c:pt>
              </c:strCache>
            </c:strRef>
          </c:tx>
          <c:invertIfNegative val="0"/>
          <c:cat>
            <c:numRef>
              <c:f>'NEW Report Graphs and Tables'!$C$277:$F$277</c:f>
              <c:numCache>
                <c:formatCode>General</c:formatCode>
                <c:ptCount val="4"/>
                <c:pt idx="0">
                  <c:v>1</c:v>
                </c:pt>
                <c:pt idx="1">
                  <c:v>10</c:v>
                </c:pt>
                <c:pt idx="2">
                  <c:v>50</c:v>
                </c:pt>
                <c:pt idx="3">
                  <c:v>100</c:v>
                </c:pt>
              </c:numCache>
            </c:numRef>
          </c:cat>
          <c:val>
            <c:numRef>
              <c:f>'NEW Report Graphs and Tables'!$C$282:$F$282</c:f>
              <c:numCache>
                <c:formatCode>"$"#,##0.00</c:formatCode>
                <c:ptCount val="4"/>
                <c:pt idx="0">
                  <c:v>0.19569288558961057</c:v>
                </c:pt>
                <c:pt idx="1">
                  <c:v>0.11653002870731333</c:v>
                </c:pt>
                <c:pt idx="2">
                  <c:v>8.1716442127287792E-2</c:v>
                </c:pt>
                <c:pt idx="3">
                  <c:v>7.0296104473722018E-2</c:v>
                </c:pt>
              </c:numCache>
            </c:numRef>
          </c:val>
        </c:ser>
        <c:ser>
          <c:idx val="5"/>
          <c:order val="5"/>
          <c:tx>
            <c:strRef>
              <c:f>'NEW Report Graphs and Tables'!$B$283</c:f>
              <c:strCache>
                <c:ptCount val="1"/>
                <c:pt idx="0">
                  <c:v>Subsystem Integration &amp; Profit Margin</c:v>
                </c:pt>
              </c:strCache>
            </c:strRef>
          </c:tx>
          <c:invertIfNegative val="0"/>
          <c:cat>
            <c:numRef>
              <c:f>'NEW Report Graphs and Tables'!$C$277:$F$277</c:f>
              <c:numCache>
                <c:formatCode>General</c:formatCode>
                <c:ptCount val="4"/>
                <c:pt idx="0">
                  <c:v>1</c:v>
                </c:pt>
                <c:pt idx="1">
                  <c:v>10</c:v>
                </c:pt>
                <c:pt idx="2">
                  <c:v>50</c:v>
                </c:pt>
                <c:pt idx="3">
                  <c:v>100</c:v>
                </c:pt>
              </c:numCache>
            </c:numRef>
          </c:cat>
          <c:val>
            <c:numRef>
              <c:f>'NEW Report Graphs and Tables'!$C$283:$F$283</c:f>
              <c:numCache>
                <c:formatCode>"$"#,##0.00</c:formatCode>
                <c:ptCount val="4"/>
                <c:pt idx="0">
                  <c:v>0.11139466221636543</c:v>
                </c:pt>
                <c:pt idx="1">
                  <c:v>7.6216611362032116E-2</c:v>
                </c:pt>
                <c:pt idx="2">
                  <c:v>6.5364654149589071E-2</c:v>
                </c:pt>
                <c:pt idx="3">
                  <c:v>6.2592584165462012E-2</c:v>
                </c:pt>
              </c:numCache>
            </c:numRef>
          </c:val>
        </c:ser>
        <c:ser>
          <c:idx val="6"/>
          <c:order val="6"/>
          <c:tx>
            <c:strRef>
              <c:f>'NEW Report Graphs and Tables'!$B$284</c:f>
              <c:strCache>
                <c:ptCount val="1"/>
                <c:pt idx="0">
                  <c:v>Installation</c:v>
                </c:pt>
              </c:strCache>
            </c:strRef>
          </c:tx>
          <c:invertIfNegative val="0"/>
          <c:cat>
            <c:numRef>
              <c:f>'NEW Report Graphs and Tables'!$C$277:$F$277</c:f>
              <c:numCache>
                <c:formatCode>General</c:formatCode>
                <c:ptCount val="4"/>
                <c:pt idx="0">
                  <c:v>1</c:v>
                </c:pt>
                <c:pt idx="1">
                  <c:v>10</c:v>
                </c:pt>
                <c:pt idx="2">
                  <c:v>50</c:v>
                </c:pt>
                <c:pt idx="3">
                  <c:v>100</c:v>
                </c:pt>
              </c:numCache>
            </c:numRef>
          </c:cat>
          <c:val>
            <c:numRef>
              <c:f>'NEW Report Graphs and Tables'!$C$284:$F$284</c:f>
              <c:numCache>
                <c:formatCode>"$"#,##0.00</c:formatCode>
                <c:ptCount val="4"/>
                <c:pt idx="0">
                  <c:v>0.70622002633814218</c:v>
                </c:pt>
                <c:pt idx="1">
                  <c:v>0.1085528828172973</c:v>
                </c:pt>
                <c:pt idx="2">
                  <c:v>5.1470678129388409E-2</c:v>
                </c:pt>
                <c:pt idx="3">
                  <c:v>4.5251925298076562E-2</c:v>
                </c:pt>
              </c:numCache>
            </c:numRef>
          </c:val>
        </c:ser>
        <c:ser>
          <c:idx val="7"/>
          <c:order val="7"/>
          <c:tx>
            <c:strRef>
              <c:f>'NEW Report Graphs and Tables'!$B$285</c:f>
              <c:strCache>
                <c:ptCount val="1"/>
                <c:pt idx="0">
                  <c:v>Contingency</c:v>
                </c:pt>
              </c:strCache>
            </c:strRef>
          </c:tx>
          <c:invertIfNegative val="0"/>
          <c:cat>
            <c:numRef>
              <c:f>'NEW Report Graphs and Tables'!$C$277:$F$277</c:f>
              <c:numCache>
                <c:formatCode>General</c:formatCode>
                <c:ptCount val="4"/>
                <c:pt idx="0">
                  <c:v>1</c:v>
                </c:pt>
                <c:pt idx="1">
                  <c:v>10</c:v>
                </c:pt>
                <c:pt idx="2">
                  <c:v>50</c:v>
                </c:pt>
                <c:pt idx="3">
                  <c:v>100</c:v>
                </c:pt>
              </c:numCache>
            </c:numRef>
          </c:cat>
          <c:val>
            <c:numRef>
              <c:f>'NEW Report Graphs and Tables'!$C$285:$F$285</c:f>
              <c:numCache>
                <c:formatCode>"$"#,##0.00</c:formatCode>
                <c:ptCount val="4"/>
                <c:pt idx="0">
                  <c:v>0.2786311075916324</c:v>
                </c:pt>
                <c:pt idx="1">
                  <c:v>0.14044997448727112</c:v>
                </c:pt>
                <c:pt idx="2">
                  <c:v>9.7069702765286703E-2</c:v>
                </c:pt>
                <c:pt idx="3">
                  <c:v>8.9724248205127755E-2</c:v>
                </c:pt>
              </c:numCache>
            </c:numRef>
          </c:val>
        </c:ser>
        <c:ser>
          <c:idx val="8"/>
          <c:order val="8"/>
          <c:tx>
            <c:strRef>
              <c:f>'NEW Report Graphs and Tables'!$B$286</c:f>
              <c:strCache>
                <c:ptCount val="1"/>
                <c:pt idx="0">
                  <c:v>Annualized OPEX</c:v>
                </c:pt>
              </c:strCache>
            </c:strRef>
          </c:tx>
          <c:invertIfNegative val="0"/>
          <c:cat>
            <c:numRef>
              <c:f>'NEW Report Graphs and Tables'!$C$277:$F$277</c:f>
              <c:numCache>
                <c:formatCode>General</c:formatCode>
                <c:ptCount val="4"/>
                <c:pt idx="0">
                  <c:v>1</c:v>
                </c:pt>
                <c:pt idx="1">
                  <c:v>10</c:v>
                </c:pt>
                <c:pt idx="2">
                  <c:v>50</c:v>
                </c:pt>
                <c:pt idx="3">
                  <c:v>100</c:v>
                </c:pt>
              </c:numCache>
            </c:numRef>
          </c:cat>
          <c:val>
            <c:numRef>
              <c:f>'NEW Report Graphs and Tables'!$C$286:$F$286</c:f>
              <c:numCache>
                <c:formatCode>"$"#,##0.00</c:formatCode>
                <c:ptCount val="4"/>
                <c:pt idx="0">
                  <c:v>1.7242799368611399</c:v>
                </c:pt>
                <c:pt idx="1">
                  <c:v>0.43499775380579209</c:v>
                </c:pt>
                <c:pt idx="2">
                  <c:v>0.13604553812471631</c:v>
                </c:pt>
                <c:pt idx="3">
                  <c:v>7.6235504072083224E-2</c:v>
                </c:pt>
              </c:numCache>
            </c:numRef>
          </c:val>
        </c:ser>
        <c:dLbls>
          <c:showLegendKey val="0"/>
          <c:showVal val="0"/>
          <c:showCatName val="0"/>
          <c:showSerName val="0"/>
          <c:showPercent val="0"/>
          <c:showBubbleSize val="0"/>
        </c:dLbls>
        <c:gapWidth val="150"/>
        <c:overlap val="100"/>
        <c:axId val="126640896"/>
        <c:axId val="126642432"/>
      </c:barChart>
      <c:catAx>
        <c:axId val="126640896"/>
        <c:scaling>
          <c:orientation val="minMax"/>
        </c:scaling>
        <c:delete val="0"/>
        <c:axPos val="b"/>
        <c:numFmt formatCode="General" sourceLinked="1"/>
        <c:majorTickMark val="out"/>
        <c:minorTickMark val="none"/>
        <c:tickLblPos val="nextTo"/>
        <c:crossAx val="126642432"/>
        <c:crosses val="autoZero"/>
        <c:auto val="1"/>
        <c:lblAlgn val="ctr"/>
        <c:lblOffset val="100"/>
        <c:noMultiLvlLbl val="0"/>
      </c:catAx>
      <c:valAx>
        <c:axId val="126642432"/>
        <c:scaling>
          <c:orientation val="minMax"/>
        </c:scaling>
        <c:delete val="0"/>
        <c:axPos val="l"/>
        <c:majorGridlines/>
        <c:title>
          <c:tx>
            <c:rich>
              <a:bodyPr rot="-5400000" vert="horz"/>
              <a:lstStyle/>
              <a:p>
                <a:pPr>
                  <a:defRPr/>
                </a:pPr>
                <a:r>
                  <a:rPr lang="en-US"/>
                  <a:t>LCOE Breakdown [$/kWh]</a:t>
                </a:r>
              </a:p>
            </c:rich>
          </c:tx>
          <c:overlay val="0"/>
        </c:title>
        <c:numFmt formatCode="&quot;$&quot;#,##0.00" sourceLinked="1"/>
        <c:majorTickMark val="out"/>
        <c:minorTickMark val="none"/>
        <c:tickLblPos val="nextTo"/>
        <c:crossAx val="126640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'NEW Report Graphs and Tables'!$B$27</c:f>
              <c:strCache>
                <c:ptCount val="1"/>
                <c:pt idx="0">
                  <c:v>Fabricated Circular Parts</c:v>
                </c:pt>
              </c:strCache>
            </c:strRef>
          </c:tx>
          <c:invertIfNegative val="0"/>
          <c:cat>
            <c:numRef>
              <c:f>'NEW Report Graphs and Tables'!$C$26:$F$26</c:f>
              <c:numCache>
                <c:formatCode>General</c:formatCode>
                <c:ptCount val="4"/>
                <c:pt idx="0">
                  <c:v>1</c:v>
                </c:pt>
                <c:pt idx="1">
                  <c:v>10</c:v>
                </c:pt>
                <c:pt idx="2">
                  <c:v>50</c:v>
                </c:pt>
                <c:pt idx="3">
                  <c:v>100</c:v>
                </c:pt>
              </c:numCache>
            </c:numRef>
          </c:cat>
          <c:val>
            <c:numRef>
              <c:f>'NEW Report Graphs and Tables'!$C$27:$F$27</c:f>
              <c:numCache>
                <c:formatCode>"$"#,##0</c:formatCode>
                <c:ptCount val="4"/>
                <c:pt idx="0">
                  <c:v>3281.9390812461779</c:v>
                </c:pt>
                <c:pt idx="1">
                  <c:v>1912.7810557439389</c:v>
                </c:pt>
                <c:pt idx="2">
                  <c:v>1311.5386170255997</c:v>
                </c:pt>
                <c:pt idx="3">
                  <c:v>1114.8078244717599</c:v>
                </c:pt>
              </c:numCache>
            </c:numRef>
          </c:val>
        </c:ser>
        <c:ser>
          <c:idx val="1"/>
          <c:order val="1"/>
          <c:tx>
            <c:strRef>
              <c:f>'NEW Report Graphs and Tables'!$B$28</c:f>
              <c:strCache>
                <c:ptCount val="1"/>
                <c:pt idx="0">
                  <c:v>Fabricated Rectangular Parts</c:v>
                </c:pt>
              </c:strCache>
            </c:strRef>
          </c:tx>
          <c:invertIfNegative val="0"/>
          <c:cat>
            <c:numRef>
              <c:f>'NEW Report Graphs and Tables'!$C$26:$F$26</c:f>
              <c:numCache>
                <c:formatCode>General</c:formatCode>
                <c:ptCount val="4"/>
                <c:pt idx="0">
                  <c:v>1</c:v>
                </c:pt>
                <c:pt idx="1">
                  <c:v>10</c:v>
                </c:pt>
                <c:pt idx="2">
                  <c:v>50</c:v>
                </c:pt>
                <c:pt idx="3">
                  <c:v>100</c:v>
                </c:pt>
              </c:numCache>
            </c:numRef>
          </c:cat>
          <c:val>
            <c:numRef>
              <c:f>'NEW Report Graphs and Tables'!$C$28:$F$28</c:f>
              <c:numCache>
                <c:formatCode>"$"#,##0</c:formatCode>
                <c:ptCount val="4"/>
                <c:pt idx="0">
                  <c:v>621.96807012010743</c:v>
                </c:pt>
                <c:pt idx="1">
                  <c:v>362.49568086182308</c:v>
                </c:pt>
                <c:pt idx="2">
                  <c:v>248.55279830778147</c:v>
                </c:pt>
                <c:pt idx="3">
                  <c:v>211.26987856161426</c:v>
                </c:pt>
              </c:numCache>
            </c:numRef>
          </c:val>
        </c:ser>
        <c:ser>
          <c:idx val="2"/>
          <c:order val="2"/>
          <c:tx>
            <c:strRef>
              <c:f>'NEW Report Graphs and Tables'!$B$29</c:f>
              <c:strCache>
                <c:ptCount val="1"/>
                <c:pt idx="0">
                  <c:v>Ducting</c:v>
                </c:pt>
              </c:strCache>
            </c:strRef>
          </c:tx>
          <c:invertIfNegative val="0"/>
          <c:cat>
            <c:numRef>
              <c:f>'NEW Report Graphs and Tables'!$C$26:$F$26</c:f>
              <c:numCache>
                <c:formatCode>General</c:formatCode>
                <c:ptCount val="4"/>
                <c:pt idx="0">
                  <c:v>1</c:v>
                </c:pt>
                <c:pt idx="1">
                  <c:v>10</c:v>
                </c:pt>
                <c:pt idx="2">
                  <c:v>50</c:v>
                </c:pt>
                <c:pt idx="3">
                  <c:v>100</c:v>
                </c:pt>
              </c:numCache>
            </c:numRef>
          </c:cat>
          <c:val>
            <c:numRef>
              <c:f>'NEW Report Graphs and Tables'!$C$29:$F$29</c:f>
              <c:numCache>
                <c:formatCode>"$"#,##0</c:formatCode>
                <c:ptCount val="4"/>
                <c:pt idx="0">
                  <c:v>15.056300268096518</c:v>
                </c:pt>
                <c:pt idx="1">
                  <c:v>12.697484339716096</c:v>
                </c:pt>
                <c:pt idx="2">
                  <c:v>11.271805835186337</c:v>
                </c:pt>
                <c:pt idx="3">
                  <c:v>10.70821554342702</c:v>
                </c:pt>
              </c:numCache>
            </c:numRef>
          </c:val>
        </c:ser>
        <c:ser>
          <c:idx val="3"/>
          <c:order val="3"/>
          <c:tx>
            <c:strRef>
              <c:f>'NEW Report Graphs and Tables'!$B$30</c:f>
              <c:strCache>
                <c:ptCount val="1"/>
                <c:pt idx="0">
                  <c:v>Rotor Blades</c:v>
                </c:pt>
              </c:strCache>
            </c:strRef>
          </c:tx>
          <c:invertIfNegative val="0"/>
          <c:cat>
            <c:numRef>
              <c:f>'NEW Report Graphs and Tables'!$C$26:$F$26</c:f>
              <c:numCache>
                <c:formatCode>General</c:formatCode>
                <c:ptCount val="4"/>
                <c:pt idx="0">
                  <c:v>1</c:v>
                </c:pt>
                <c:pt idx="1">
                  <c:v>10</c:v>
                </c:pt>
                <c:pt idx="2">
                  <c:v>50</c:v>
                </c:pt>
                <c:pt idx="3">
                  <c:v>100</c:v>
                </c:pt>
              </c:numCache>
            </c:numRef>
          </c:cat>
          <c:val>
            <c:numRef>
              <c:f>'NEW Report Graphs and Tables'!$C$30:$F$30</c:f>
              <c:numCache>
                <c:formatCode>"$"#,##0</c:formatCode>
                <c:ptCount val="4"/>
                <c:pt idx="0">
                  <c:v>147.50061662198391</c:v>
                </c:pt>
                <c:pt idx="1">
                  <c:v>85.966368723075448</c:v>
                </c:pt>
                <c:pt idx="2">
                  <c:v>58.944651300890229</c:v>
                </c:pt>
                <c:pt idx="3">
                  <c:v>50.102953605756689</c:v>
                </c:pt>
              </c:numCache>
            </c:numRef>
          </c:val>
        </c:ser>
        <c:ser>
          <c:idx val="4"/>
          <c:order val="4"/>
          <c:tx>
            <c:strRef>
              <c:f>'NEW Report Graphs and Tables'!$B$31</c:f>
              <c:strCache>
                <c:ptCount val="1"/>
                <c:pt idx="0">
                  <c:v>Bearings</c:v>
                </c:pt>
              </c:strCache>
            </c:strRef>
          </c:tx>
          <c:invertIfNegative val="0"/>
          <c:cat>
            <c:numRef>
              <c:f>'NEW Report Graphs and Tables'!$C$26:$F$26</c:f>
              <c:numCache>
                <c:formatCode>General</c:formatCode>
                <c:ptCount val="4"/>
                <c:pt idx="0">
                  <c:v>1</c:v>
                </c:pt>
                <c:pt idx="1">
                  <c:v>10</c:v>
                </c:pt>
                <c:pt idx="2">
                  <c:v>50</c:v>
                </c:pt>
                <c:pt idx="3">
                  <c:v>100</c:v>
                </c:pt>
              </c:numCache>
            </c:numRef>
          </c:cat>
          <c:val>
            <c:numRef>
              <c:f>'NEW Report Graphs and Tables'!$C$31:$F$31</c:f>
              <c:numCache>
                <c:formatCode>"$"#,##0</c:formatCode>
                <c:ptCount val="4"/>
                <c:pt idx="0">
                  <c:v>85.937587131367295</c:v>
                </c:pt>
                <c:pt idx="1">
                  <c:v>74.424133595660351</c:v>
                </c:pt>
                <c:pt idx="2">
                  <c:v>67.305347813972148</c:v>
                </c:pt>
                <c:pt idx="3">
                  <c:v>64.453190348452068</c:v>
                </c:pt>
              </c:numCache>
            </c:numRef>
          </c:val>
        </c:ser>
        <c:ser>
          <c:idx val="5"/>
          <c:order val="5"/>
          <c:tx>
            <c:strRef>
              <c:f>'NEW Report Graphs and Tables'!$B$32</c:f>
              <c:strCache>
                <c:ptCount val="1"/>
                <c:pt idx="0">
                  <c:v>Flex Coupling</c:v>
                </c:pt>
              </c:strCache>
            </c:strRef>
          </c:tx>
          <c:invertIfNegative val="0"/>
          <c:cat>
            <c:numRef>
              <c:f>'NEW Report Graphs and Tables'!$C$26:$F$26</c:f>
              <c:numCache>
                <c:formatCode>General</c:formatCode>
                <c:ptCount val="4"/>
                <c:pt idx="0">
                  <c:v>1</c:v>
                </c:pt>
                <c:pt idx="1">
                  <c:v>10</c:v>
                </c:pt>
                <c:pt idx="2">
                  <c:v>50</c:v>
                </c:pt>
                <c:pt idx="3">
                  <c:v>100</c:v>
                </c:pt>
              </c:numCache>
            </c:numRef>
          </c:cat>
          <c:val>
            <c:numRef>
              <c:f>'NEW Report Graphs and Tables'!$C$32:$F$32</c:f>
              <c:numCache>
                <c:formatCode>"$"#,##0</c:formatCode>
                <c:ptCount val="4"/>
                <c:pt idx="0">
                  <c:v>3.7533512064343162</c:v>
                </c:pt>
                <c:pt idx="1">
                  <c:v>3.1653272926642684</c:v>
                </c:pt>
                <c:pt idx="2">
                  <c:v>2.8099231070621209</c:v>
                </c:pt>
                <c:pt idx="3">
                  <c:v>2.6694269517090148</c:v>
                </c:pt>
              </c:numCache>
            </c:numRef>
          </c:val>
        </c:ser>
        <c:ser>
          <c:idx val="6"/>
          <c:order val="6"/>
          <c:tx>
            <c:strRef>
              <c:f>'NEW Report Graphs and Tables'!$B$33</c:f>
              <c:strCache>
                <c:ptCount val="1"/>
                <c:pt idx="0">
                  <c:v>Generator</c:v>
                </c:pt>
              </c:strCache>
            </c:strRef>
          </c:tx>
          <c:invertIfNegative val="0"/>
          <c:cat>
            <c:numRef>
              <c:f>'NEW Report Graphs and Tables'!$C$26:$F$26</c:f>
              <c:numCache>
                <c:formatCode>General</c:formatCode>
                <c:ptCount val="4"/>
                <c:pt idx="0">
                  <c:v>1</c:v>
                </c:pt>
                <c:pt idx="1">
                  <c:v>10</c:v>
                </c:pt>
                <c:pt idx="2">
                  <c:v>50</c:v>
                </c:pt>
                <c:pt idx="3">
                  <c:v>100</c:v>
                </c:pt>
              </c:numCache>
            </c:numRef>
          </c:cat>
          <c:val>
            <c:numRef>
              <c:f>'NEW Report Graphs and Tables'!$C$33:$F$33</c:f>
              <c:numCache>
                <c:formatCode>"$"#,##0</c:formatCode>
                <c:ptCount val="4"/>
                <c:pt idx="0">
                  <c:v>93.833780160857913</c:v>
                </c:pt>
                <c:pt idx="1">
                  <c:v>82.787909400793438</c:v>
                </c:pt>
                <c:pt idx="2">
                  <c:v>75.848733206403665</c:v>
                </c:pt>
                <c:pt idx="3">
                  <c:v>73.042330077766721</c:v>
                </c:pt>
              </c:numCache>
            </c:numRef>
          </c:val>
        </c:ser>
        <c:ser>
          <c:idx val="7"/>
          <c:order val="7"/>
          <c:tx>
            <c:strRef>
              <c:f>'NEW Report Graphs and Tables'!$B$34</c:f>
              <c:strCache>
                <c:ptCount val="1"/>
                <c:pt idx="0">
                  <c:v>Power Electronics</c:v>
                </c:pt>
              </c:strCache>
            </c:strRef>
          </c:tx>
          <c:invertIfNegative val="0"/>
          <c:cat>
            <c:numRef>
              <c:f>'NEW Report Graphs and Tables'!$C$26:$F$26</c:f>
              <c:numCache>
                <c:formatCode>General</c:formatCode>
                <c:ptCount val="4"/>
                <c:pt idx="0">
                  <c:v>1</c:v>
                </c:pt>
                <c:pt idx="1">
                  <c:v>10</c:v>
                </c:pt>
                <c:pt idx="2">
                  <c:v>50</c:v>
                </c:pt>
                <c:pt idx="3">
                  <c:v>100</c:v>
                </c:pt>
              </c:numCache>
            </c:numRef>
          </c:cat>
          <c:val>
            <c:numRef>
              <c:f>'NEW Report Graphs and Tables'!$C$34:$F$34</c:f>
              <c:numCache>
                <c:formatCode>"$"#,##0</c:formatCode>
                <c:ptCount val="4"/>
                <c:pt idx="0">
                  <c:v>107.23860589812332</c:v>
                </c:pt>
                <c:pt idx="1">
                  <c:v>50.677106614372825</c:v>
                </c:pt>
                <c:pt idx="2">
                  <c:v>30.010247095303328</c:v>
                </c:pt>
                <c:pt idx="3">
                  <c:v>23.948177182052056</c:v>
                </c:pt>
              </c:numCache>
            </c:numRef>
          </c:val>
        </c:ser>
        <c:ser>
          <c:idx val="8"/>
          <c:order val="8"/>
          <c:tx>
            <c:strRef>
              <c:f>'NEW Report Graphs and Tables'!$B$35</c:f>
              <c:strCache>
                <c:ptCount val="1"/>
                <c:pt idx="0">
                  <c:v>Mechanical Face Seal</c:v>
                </c:pt>
              </c:strCache>
            </c:strRef>
          </c:tx>
          <c:invertIfNegative val="0"/>
          <c:cat>
            <c:numRef>
              <c:f>'NEW Report Graphs and Tables'!$C$26:$F$26</c:f>
              <c:numCache>
                <c:formatCode>General</c:formatCode>
                <c:ptCount val="4"/>
                <c:pt idx="0">
                  <c:v>1</c:v>
                </c:pt>
                <c:pt idx="1">
                  <c:v>10</c:v>
                </c:pt>
                <c:pt idx="2">
                  <c:v>50</c:v>
                </c:pt>
                <c:pt idx="3">
                  <c:v>100</c:v>
                </c:pt>
              </c:numCache>
            </c:numRef>
          </c:cat>
          <c:val>
            <c:numRef>
              <c:f>'NEW Report Graphs and Tables'!$C$35:$F$35</c:f>
              <c:numCache>
                <c:formatCode>"$"#,##0</c:formatCode>
                <c:ptCount val="4"/>
                <c:pt idx="0">
                  <c:v>32.171581769436997</c:v>
                </c:pt>
                <c:pt idx="1">
                  <c:v>28.777973547463908</c:v>
                </c:pt>
                <c:pt idx="2">
                  <c:v>26.620826183984203</c:v>
                </c:pt>
                <c:pt idx="3">
                  <c:v>25.742338919912719</c:v>
                </c:pt>
              </c:numCache>
            </c:numRef>
          </c:val>
        </c:ser>
        <c:dLbls>
          <c:showLegendKey val="0"/>
          <c:showVal val="0"/>
          <c:showCatName val="0"/>
          <c:showSerName val="0"/>
          <c:showPercent val="0"/>
          <c:showBubbleSize val="0"/>
        </c:dLbls>
        <c:gapWidth val="150"/>
        <c:overlap val="100"/>
        <c:axId val="126677760"/>
        <c:axId val="126679680"/>
      </c:barChart>
      <c:catAx>
        <c:axId val="126677760"/>
        <c:scaling>
          <c:orientation val="minMax"/>
        </c:scaling>
        <c:delete val="0"/>
        <c:axPos val="b"/>
        <c:title>
          <c:tx>
            <c:rich>
              <a:bodyPr/>
              <a:lstStyle/>
              <a:p>
                <a:pPr>
                  <a:defRPr/>
                </a:pPr>
                <a:r>
                  <a:rPr lang="en-US"/>
                  <a:t>Array Scale [# of Units]</a:t>
                </a:r>
              </a:p>
            </c:rich>
          </c:tx>
          <c:layout>
            <c:manualLayout>
              <c:xMode val="edge"/>
              <c:yMode val="edge"/>
              <c:x val="0.34644270709500569"/>
              <c:y val="0.91651123509957944"/>
            </c:manualLayout>
          </c:layout>
          <c:overlay val="0"/>
        </c:title>
        <c:numFmt formatCode="General" sourceLinked="1"/>
        <c:majorTickMark val="out"/>
        <c:minorTickMark val="none"/>
        <c:tickLblPos val="nextTo"/>
        <c:crossAx val="126679680"/>
        <c:crosses val="autoZero"/>
        <c:auto val="1"/>
        <c:lblAlgn val="ctr"/>
        <c:lblOffset val="100"/>
        <c:noMultiLvlLbl val="0"/>
      </c:catAx>
      <c:valAx>
        <c:axId val="126679680"/>
        <c:scaling>
          <c:orientation val="minMax"/>
        </c:scaling>
        <c:delete val="0"/>
        <c:axPos val="l"/>
        <c:majorGridlines/>
        <c:title>
          <c:tx>
            <c:rich>
              <a:bodyPr rot="-5400000" vert="horz"/>
              <a:lstStyle/>
              <a:p>
                <a:pPr>
                  <a:defRPr/>
                </a:pPr>
                <a:r>
                  <a:rPr lang="en-US"/>
                  <a:t>PCC Component Cost</a:t>
                </a:r>
                <a:r>
                  <a:rPr lang="en-US" baseline="0"/>
                  <a:t> Breakdown [$/kW]</a:t>
                </a:r>
                <a:endParaRPr lang="en-US"/>
              </a:p>
            </c:rich>
          </c:tx>
          <c:overlay val="0"/>
        </c:title>
        <c:numFmt formatCode="&quot;$&quot;#,##0" sourceLinked="1"/>
        <c:majorTickMark val="out"/>
        <c:minorTickMark val="none"/>
        <c:tickLblPos val="nextTo"/>
        <c:crossAx val="126677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'NEW Report Graphs and Tables'!$B$61</c:f>
              <c:strCache>
                <c:ptCount val="1"/>
                <c:pt idx="0">
                  <c:v>Mooring lines/chain</c:v>
                </c:pt>
              </c:strCache>
            </c:strRef>
          </c:tx>
          <c:invertIfNegative val="0"/>
          <c:cat>
            <c:numRef>
              <c:f>'NEW Report Graphs and Tables'!$C$60:$F$60</c:f>
              <c:numCache>
                <c:formatCode>General</c:formatCode>
                <c:ptCount val="4"/>
                <c:pt idx="0">
                  <c:v>1</c:v>
                </c:pt>
                <c:pt idx="1">
                  <c:v>10</c:v>
                </c:pt>
                <c:pt idx="2">
                  <c:v>50</c:v>
                </c:pt>
                <c:pt idx="3">
                  <c:v>100</c:v>
                </c:pt>
              </c:numCache>
            </c:numRef>
          </c:cat>
          <c:val>
            <c:numRef>
              <c:f>'NEW Report Graphs and Tables'!$C$61:$F$61</c:f>
              <c:numCache>
                <c:formatCode>"$"#,##0</c:formatCode>
                <c:ptCount val="4"/>
                <c:pt idx="0">
                  <c:v>1471.0087779016176</c:v>
                </c:pt>
                <c:pt idx="1">
                  <c:v>1323.9079001114555</c:v>
                </c:pt>
                <c:pt idx="2">
                  <c:v>1323.907900111456</c:v>
                </c:pt>
                <c:pt idx="3">
                  <c:v>1323.907900111456</c:v>
                </c:pt>
              </c:numCache>
            </c:numRef>
          </c:val>
        </c:ser>
        <c:ser>
          <c:idx val="1"/>
          <c:order val="1"/>
          <c:tx>
            <c:strRef>
              <c:f>'NEW Report Graphs and Tables'!$B$62</c:f>
              <c:strCache>
                <c:ptCount val="1"/>
                <c:pt idx="0">
                  <c:v>Anchors</c:v>
                </c:pt>
              </c:strCache>
            </c:strRef>
          </c:tx>
          <c:invertIfNegative val="0"/>
          <c:cat>
            <c:numRef>
              <c:f>'NEW Report Graphs and Tables'!$C$60:$F$60</c:f>
              <c:numCache>
                <c:formatCode>General</c:formatCode>
                <c:ptCount val="4"/>
                <c:pt idx="0">
                  <c:v>1</c:v>
                </c:pt>
                <c:pt idx="1">
                  <c:v>10</c:v>
                </c:pt>
                <c:pt idx="2">
                  <c:v>50</c:v>
                </c:pt>
                <c:pt idx="3">
                  <c:v>100</c:v>
                </c:pt>
              </c:numCache>
            </c:numRef>
          </c:cat>
          <c:val>
            <c:numRef>
              <c:f>'NEW Report Graphs and Tables'!$C$62:$F$62</c:f>
              <c:numCache>
                <c:formatCode>"$"#,##0</c:formatCode>
                <c:ptCount val="4"/>
                <c:pt idx="0">
                  <c:v>332.88471849865954</c:v>
                </c:pt>
                <c:pt idx="1">
                  <c:v>279.54959785522789</c:v>
                </c:pt>
                <c:pt idx="2">
                  <c:v>224.37533512064346</c:v>
                </c:pt>
                <c:pt idx="3">
                  <c:v>169.20107238605897</c:v>
                </c:pt>
              </c:numCache>
            </c:numRef>
          </c:val>
        </c:ser>
        <c:ser>
          <c:idx val="2"/>
          <c:order val="2"/>
          <c:tx>
            <c:strRef>
              <c:f>'NEW Report Graphs and Tables'!$B$63</c:f>
              <c:strCache>
                <c:ptCount val="1"/>
                <c:pt idx="0">
                  <c:v>Buoyancy</c:v>
                </c:pt>
              </c:strCache>
            </c:strRef>
          </c:tx>
          <c:invertIfNegative val="0"/>
          <c:cat>
            <c:numRef>
              <c:f>'NEW Report Graphs and Tables'!$C$60:$F$60</c:f>
              <c:numCache>
                <c:formatCode>General</c:formatCode>
                <c:ptCount val="4"/>
                <c:pt idx="0">
                  <c:v>1</c:v>
                </c:pt>
                <c:pt idx="1">
                  <c:v>10</c:v>
                </c:pt>
                <c:pt idx="2">
                  <c:v>50</c:v>
                </c:pt>
                <c:pt idx="3">
                  <c:v>100</c:v>
                </c:pt>
              </c:numCache>
            </c:numRef>
          </c:cat>
          <c:val>
            <c:numRef>
              <c:f>'NEW Report Graphs and Tables'!$C$63:$F$63</c:f>
              <c:numCache>
                <c:formatCode>"$"#,##0</c:formatCode>
                <c:ptCount val="4"/>
                <c:pt idx="0">
                  <c:v>160.85790884718497</c:v>
                </c:pt>
                <c:pt idx="1">
                  <c:v>144.7721179624665</c:v>
                </c:pt>
                <c:pt idx="2">
                  <c:v>144.7721179624665</c:v>
                </c:pt>
                <c:pt idx="3">
                  <c:v>144.7721179624665</c:v>
                </c:pt>
              </c:numCache>
            </c:numRef>
          </c:val>
        </c:ser>
        <c:ser>
          <c:idx val="3"/>
          <c:order val="3"/>
          <c:tx>
            <c:strRef>
              <c:f>'NEW Report Graphs and Tables'!$B$64</c:f>
              <c:strCache>
                <c:ptCount val="1"/>
                <c:pt idx="0">
                  <c:v>Connecting Hardware (shackles etc.)</c:v>
                </c:pt>
              </c:strCache>
            </c:strRef>
          </c:tx>
          <c:invertIfNegative val="0"/>
          <c:cat>
            <c:numRef>
              <c:f>'NEW Report Graphs and Tables'!$C$60:$F$60</c:f>
              <c:numCache>
                <c:formatCode>General</c:formatCode>
                <c:ptCount val="4"/>
                <c:pt idx="0">
                  <c:v>1</c:v>
                </c:pt>
                <c:pt idx="1">
                  <c:v>10</c:v>
                </c:pt>
                <c:pt idx="2">
                  <c:v>50</c:v>
                </c:pt>
                <c:pt idx="3">
                  <c:v>100</c:v>
                </c:pt>
              </c:numCache>
            </c:numRef>
          </c:cat>
          <c:val>
            <c:numRef>
              <c:f>'NEW Report Graphs and Tables'!$C$64:$F$64</c:f>
              <c:numCache>
                <c:formatCode>"$"#,##0</c:formatCode>
                <c:ptCount val="4"/>
                <c:pt idx="0">
                  <c:v>274.26273458445041</c:v>
                </c:pt>
                <c:pt idx="1">
                  <c:v>246.83646112600536</c:v>
                </c:pt>
                <c:pt idx="2">
                  <c:v>246.83646112600536</c:v>
                </c:pt>
                <c:pt idx="3">
                  <c:v>246.83646112600536</c:v>
                </c:pt>
              </c:numCache>
            </c:numRef>
          </c:val>
        </c:ser>
        <c:dLbls>
          <c:showLegendKey val="0"/>
          <c:showVal val="0"/>
          <c:showCatName val="0"/>
          <c:showSerName val="0"/>
          <c:showPercent val="0"/>
          <c:showBubbleSize val="0"/>
        </c:dLbls>
        <c:gapWidth val="150"/>
        <c:overlap val="100"/>
        <c:axId val="126772352"/>
        <c:axId val="126773888"/>
      </c:barChart>
      <c:catAx>
        <c:axId val="126772352"/>
        <c:scaling>
          <c:orientation val="minMax"/>
        </c:scaling>
        <c:delete val="0"/>
        <c:axPos val="b"/>
        <c:numFmt formatCode="General" sourceLinked="1"/>
        <c:majorTickMark val="out"/>
        <c:minorTickMark val="none"/>
        <c:tickLblPos val="nextTo"/>
        <c:crossAx val="126773888"/>
        <c:crosses val="autoZero"/>
        <c:auto val="1"/>
        <c:lblAlgn val="ctr"/>
        <c:lblOffset val="100"/>
        <c:noMultiLvlLbl val="0"/>
      </c:catAx>
      <c:valAx>
        <c:axId val="126773888"/>
        <c:scaling>
          <c:orientation val="minMax"/>
        </c:scaling>
        <c:delete val="0"/>
        <c:axPos val="l"/>
        <c:majorGridlines/>
        <c:numFmt formatCode="&quot;$&quot;#,##0" sourceLinked="1"/>
        <c:majorTickMark val="out"/>
        <c:minorTickMark val="none"/>
        <c:tickLblPos val="nextTo"/>
        <c:crossAx val="126772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'NEW Report Graphs and Tables'!$B$114</c:f>
              <c:strCache>
                <c:ptCount val="1"/>
                <c:pt idx="0">
                  <c:v>Transport to Staging Site</c:v>
                </c:pt>
              </c:strCache>
            </c:strRef>
          </c:tx>
          <c:invertIfNegative val="0"/>
          <c:cat>
            <c:numRef>
              <c:f>'NEW Report Graphs and Tables'!$C$113:$F$113</c:f>
              <c:numCache>
                <c:formatCode>General</c:formatCode>
                <c:ptCount val="4"/>
                <c:pt idx="0">
                  <c:v>1</c:v>
                </c:pt>
                <c:pt idx="1">
                  <c:v>10</c:v>
                </c:pt>
                <c:pt idx="2">
                  <c:v>50</c:v>
                </c:pt>
                <c:pt idx="3">
                  <c:v>100</c:v>
                </c:pt>
              </c:numCache>
            </c:numRef>
          </c:cat>
          <c:val>
            <c:numRef>
              <c:f>'NEW Report Graphs and Tables'!$C$114:$F$114</c:f>
              <c:numCache>
                <c:formatCode>"$"#,##0</c:formatCode>
                <c:ptCount val="4"/>
                <c:pt idx="0">
                  <c:v>79.758713136729227</c:v>
                </c:pt>
                <c:pt idx="1">
                  <c:v>79.758713136729227</c:v>
                </c:pt>
                <c:pt idx="2">
                  <c:v>79.758713136729227</c:v>
                </c:pt>
                <c:pt idx="3">
                  <c:v>79.758713136729227</c:v>
                </c:pt>
              </c:numCache>
            </c:numRef>
          </c:val>
        </c:ser>
        <c:ser>
          <c:idx val="1"/>
          <c:order val="1"/>
          <c:tx>
            <c:strRef>
              <c:f>'NEW Report Graphs and Tables'!$B$115</c:f>
              <c:strCache>
                <c:ptCount val="1"/>
                <c:pt idx="0">
                  <c:v>Cable Shore Landing</c:v>
                </c:pt>
              </c:strCache>
            </c:strRef>
          </c:tx>
          <c:invertIfNegative val="0"/>
          <c:cat>
            <c:numRef>
              <c:f>'NEW Report Graphs and Tables'!$C$113:$F$113</c:f>
              <c:numCache>
                <c:formatCode>General</c:formatCode>
                <c:ptCount val="4"/>
                <c:pt idx="0">
                  <c:v>1</c:v>
                </c:pt>
                <c:pt idx="1">
                  <c:v>10</c:v>
                </c:pt>
                <c:pt idx="2">
                  <c:v>50</c:v>
                </c:pt>
                <c:pt idx="3">
                  <c:v>100</c:v>
                </c:pt>
              </c:numCache>
            </c:numRef>
          </c:cat>
          <c:val>
            <c:numRef>
              <c:f>'NEW Report Graphs and Tables'!$C$115:$F$115</c:f>
              <c:numCache>
                <c:formatCode>"$"#,##0</c:formatCode>
                <c:ptCount val="4"/>
                <c:pt idx="0">
                  <c:v>1788.2037533512064</c:v>
                </c:pt>
                <c:pt idx="1">
                  <c:v>205.68364611260054</c:v>
                </c:pt>
                <c:pt idx="2">
                  <c:v>41.13672922252011</c:v>
                </c:pt>
                <c:pt idx="3">
                  <c:v>41.126005361930297</c:v>
                </c:pt>
              </c:numCache>
            </c:numRef>
          </c:val>
        </c:ser>
        <c:ser>
          <c:idx val="2"/>
          <c:order val="2"/>
          <c:tx>
            <c:strRef>
              <c:f>'NEW Report Graphs and Tables'!$B$116</c:f>
              <c:strCache>
                <c:ptCount val="1"/>
                <c:pt idx="0">
                  <c:v>Mooring/Foundation System</c:v>
                </c:pt>
              </c:strCache>
            </c:strRef>
          </c:tx>
          <c:invertIfNegative val="0"/>
          <c:cat>
            <c:numRef>
              <c:f>'NEW Report Graphs and Tables'!$C$113:$F$113</c:f>
              <c:numCache>
                <c:formatCode>General</c:formatCode>
                <c:ptCount val="4"/>
                <c:pt idx="0">
                  <c:v>1</c:v>
                </c:pt>
                <c:pt idx="1">
                  <c:v>10</c:v>
                </c:pt>
                <c:pt idx="2">
                  <c:v>50</c:v>
                </c:pt>
                <c:pt idx="3">
                  <c:v>100</c:v>
                </c:pt>
              </c:numCache>
            </c:numRef>
          </c:cat>
          <c:val>
            <c:numRef>
              <c:f>'NEW Report Graphs and Tables'!$C$116:$F$116</c:f>
              <c:numCache>
                <c:formatCode>"$"#,##0</c:formatCode>
                <c:ptCount val="4"/>
                <c:pt idx="0">
                  <c:v>8562.5564343163551</c:v>
                </c:pt>
                <c:pt idx="1">
                  <c:v>1046.7985403634198</c:v>
                </c:pt>
                <c:pt idx="2">
                  <c:v>378.76465296395594</c:v>
                </c:pt>
                <c:pt idx="3">
                  <c:v>295.26041703902297</c:v>
                </c:pt>
              </c:numCache>
            </c:numRef>
          </c:val>
        </c:ser>
        <c:ser>
          <c:idx val="3"/>
          <c:order val="3"/>
          <c:tx>
            <c:strRef>
              <c:f>'NEW Report Graphs and Tables'!$B$117</c:f>
              <c:strCache>
                <c:ptCount val="1"/>
                <c:pt idx="0">
                  <c:v>Cable Installation</c:v>
                </c:pt>
              </c:strCache>
            </c:strRef>
          </c:tx>
          <c:invertIfNegative val="0"/>
          <c:cat>
            <c:numRef>
              <c:f>'NEW Report Graphs and Tables'!$C$113:$F$113</c:f>
              <c:numCache>
                <c:formatCode>General</c:formatCode>
                <c:ptCount val="4"/>
                <c:pt idx="0">
                  <c:v>1</c:v>
                </c:pt>
                <c:pt idx="1">
                  <c:v>10</c:v>
                </c:pt>
                <c:pt idx="2">
                  <c:v>50</c:v>
                </c:pt>
                <c:pt idx="3">
                  <c:v>100</c:v>
                </c:pt>
              </c:numCache>
            </c:numRef>
          </c:cat>
          <c:val>
            <c:numRef>
              <c:f>'NEW Report Graphs and Tables'!$C$117:$F$117</c:f>
              <c:numCache>
                <c:formatCode>"$"#,##0</c:formatCode>
                <c:ptCount val="4"/>
                <c:pt idx="0">
                  <c:v>4041.6455227882038</c:v>
                </c:pt>
                <c:pt idx="1">
                  <c:v>611.30418230563009</c:v>
                </c:pt>
                <c:pt idx="2">
                  <c:v>241.49139946380694</c:v>
                </c:pt>
                <c:pt idx="3">
                  <c:v>195.26480160857909</c:v>
                </c:pt>
              </c:numCache>
            </c:numRef>
          </c:val>
        </c:ser>
        <c:ser>
          <c:idx val="4"/>
          <c:order val="4"/>
          <c:tx>
            <c:strRef>
              <c:f>'NEW Report Graphs and Tables'!$B$118</c:f>
              <c:strCache>
                <c:ptCount val="1"/>
                <c:pt idx="0">
                  <c:v>Device Installation</c:v>
                </c:pt>
              </c:strCache>
            </c:strRef>
          </c:tx>
          <c:invertIfNegative val="0"/>
          <c:cat>
            <c:numRef>
              <c:f>'NEW Report Graphs and Tables'!$C$113:$F$113</c:f>
              <c:numCache>
                <c:formatCode>General</c:formatCode>
                <c:ptCount val="4"/>
                <c:pt idx="0">
                  <c:v>1</c:v>
                </c:pt>
                <c:pt idx="1">
                  <c:v>10</c:v>
                </c:pt>
                <c:pt idx="2">
                  <c:v>50</c:v>
                </c:pt>
                <c:pt idx="3">
                  <c:v>100</c:v>
                </c:pt>
              </c:numCache>
            </c:numRef>
          </c:cat>
          <c:val>
            <c:numRef>
              <c:f>'NEW Report Graphs and Tables'!$C$118:$F$118</c:f>
              <c:numCache>
                <c:formatCode>"$"#,##0</c:formatCode>
                <c:ptCount val="4"/>
                <c:pt idx="0">
                  <c:v>684.18900804289547</c:v>
                </c:pt>
                <c:pt idx="1">
                  <c:v>245.65013404825737</c:v>
                </c:pt>
                <c:pt idx="2">
                  <c:v>206.66890080428954</c:v>
                </c:pt>
                <c:pt idx="3">
                  <c:v>201.79624664879356</c:v>
                </c:pt>
              </c:numCache>
            </c:numRef>
          </c:val>
        </c:ser>
        <c:ser>
          <c:idx val="5"/>
          <c:order val="5"/>
          <c:tx>
            <c:strRef>
              <c:f>'NEW Report Graphs and Tables'!$B$119</c:f>
              <c:strCache>
                <c:ptCount val="1"/>
                <c:pt idx="0">
                  <c:v>Device Comissioning</c:v>
                </c:pt>
              </c:strCache>
            </c:strRef>
          </c:tx>
          <c:invertIfNegative val="0"/>
          <c:cat>
            <c:numRef>
              <c:f>'NEW Report Graphs and Tables'!$C$113:$F$113</c:f>
              <c:numCache>
                <c:formatCode>General</c:formatCode>
                <c:ptCount val="4"/>
                <c:pt idx="0">
                  <c:v>1</c:v>
                </c:pt>
                <c:pt idx="1">
                  <c:v>10</c:v>
                </c:pt>
                <c:pt idx="2">
                  <c:v>50</c:v>
                </c:pt>
                <c:pt idx="3">
                  <c:v>100</c:v>
                </c:pt>
              </c:numCache>
            </c:numRef>
          </c:cat>
          <c:val>
            <c:numRef>
              <c:f>'NEW Report Graphs and Tables'!$C$119:$F$119</c:f>
              <c:numCache>
                <c:formatCode>"$"#,##0</c:formatCode>
                <c:ptCount val="4"/>
                <c:pt idx="0">
                  <c:v>684.18900804289547</c:v>
                </c:pt>
                <c:pt idx="1">
                  <c:v>245.65013404825737</c:v>
                </c:pt>
                <c:pt idx="2">
                  <c:v>206.66890080428954</c:v>
                </c:pt>
                <c:pt idx="3">
                  <c:v>201.79624664879356</c:v>
                </c:pt>
              </c:numCache>
            </c:numRef>
          </c:val>
        </c:ser>
        <c:dLbls>
          <c:showLegendKey val="0"/>
          <c:showVal val="0"/>
          <c:showCatName val="0"/>
          <c:showSerName val="0"/>
          <c:showPercent val="0"/>
          <c:showBubbleSize val="0"/>
        </c:dLbls>
        <c:gapWidth val="150"/>
        <c:overlap val="100"/>
        <c:axId val="126806272"/>
        <c:axId val="126812544"/>
      </c:barChart>
      <c:catAx>
        <c:axId val="126806272"/>
        <c:scaling>
          <c:orientation val="minMax"/>
        </c:scaling>
        <c:delete val="0"/>
        <c:axPos val="b"/>
        <c:title>
          <c:tx>
            <c:rich>
              <a:bodyPr/>
              <a:lstStyle/>
              <a:p>
                <a:pPr>
                  <a:defRPr/>
                </a:pPr>
                <a:r>
                  <a:rPr lang="en-US"/>
                  <a:t>Array Scale [# of Units]</a:t>
                </a:r>
              </a:p>
            </c:rich>
          </c:tx>
          <c:overlay val="0"/>
        </c:title>
        <c:numFmt formatCode="General" sourceLinked="1"/>
        <c:majorTickMark val="out"/>
        <c:minorTickMark val="none"/>
        <c:tickLblPos val="nextTo"/>
        <c:crossAx val="126812544"/>
        <c:crosses val="autoZero"/>
        <c:auto val="1"/>
        <c:lblAlgn val="ctr"/>
        <c:lblOffset val="100"/>
        <c:noMultiLvlLbl val="0"/>
      </c:catAx>
      <c:valAx>
        <c:axId val="126812544"/>
        <c:scaling>
          <c:orientation val="minMax"/>
        </c:scaling>
        <c:delete val="0"/>
        <c:axPos val="l"/>
        <c:majorGridlines/>
        <c:title>
          <c:tx>
            <c:rich>
              <a:bodyPr rot="-5400000" vert="horz"/>
              <a:lstStyle/>
              <a:p>
                <a:pPr>
                  <a:defRPr/>
                </a:pPr>
                <a:r>
                  <a:rPr lang="en-US"/>
                  <a:t>$/kW</a:t>
                </a:r>
              </a:p>
            </c:rich>
          </c:tx>
          <c:overlay val="0"/>
        </c:title>
        <c:numFmt formatCode="&quot;$&quot;#,##0" sourceLinked="1"/>
        <c:majorTickMark val="out"/>
        <c:minorTickMark val="none"/>
        <c:tickLblPos val="nextTo"/>
        <c:crossAx val="1268062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'NEW Report Graphs and Tables'!$B$146</c:f>
              <c:strCache>
                <c:ptCount val="1"/>
                <c:pt idx="0">
                  <c:v>Post-Installation Monitoring</c:v>
                </c:pt>
              </c:strCache>
            </c:strRef>
          </c:tx>
          <c:invertIfNegative val="0"/>
          <c:cat>
            <c:numRef>
              <c:f>'NEW Report Graphs and Tables'!$C$145:$F$145</c:f>
              <c:numCache>
                <c:formatCode>General</c:formatCode>
                <c:ptCount val="4"/>
                <c:pt idx="0">
                  <c:v>1</c:v>
                </c:pt>
                <c:pt idx="1">
                  <c:v>10</c:v>
                </c:pt>
                <c:pt idx="2">
                  <c:v>50</c:v>
                </c:pt>
                <c:pt idx="3">
                  <c:v>100</c:v>
                </c:pt>
              </c:numCache>
            </c:numRef>
          </c:cat>
          <c:val>
            <c:numRef>
              <c:f>'NEW Report Graphs and Tables'!$C$146:$F$146</c:f>
              <c:numCache>
                <c:formatCode>"$"#,##0</c:formatCode>
                <c:ptCount val="4"/>
                <c:pt idx="0">
                  <c:v>2292.225201072386</c:v>
                </c:pt>
                <c:pt idx="1">
                  <c:v>339.41018766756031</c:v>
                </c:pt>
                <c:pt idx="2">
                  <c:v>67.882037533512062</c:v>
                </c:pt>
                <c:pt idx="3">
                  <c:v>33.941018766756031</c:v>
                </c:pt>
              </c:numCache>
            </c:numRef>
          </c:val>
        </c:ser>
        <c:ser>
          <c:idx val="1"/>
          <c:order val="1"/>
          <c:tx>
            <c:strRef>
              <c:f>'NEW Report Graphs and Tables'!$B$147</c:f>
              <c:strCache>
                <c:ptCount val="1"/>
                <c:pt idx="0">
                  <c:v>Insurance</c:v>
                </c:pt>
              </c:strCache>
            </c:strRef>
          </c:tx>
          <c:invertIfNegative val="0"/>
          <c:cat>
            <c:numRef>
              <c:f>'NEW Report Graphs and Tables'!$C$145:$F$145</c:f>
              <c:numCache>
                <c:formatCode>General</c:formatCode>
                <c:ptCount val="4"/>
                <c:pt idx="0">
                  <c:v>1</c:v>
                </c:pt>
                <c:pt idx="1">
                  <c:v>10</c:v>
                </c:pt>
                <c:pt idx="2">
                  <c:v>50</c:v>
                </c:pt>
                <c:pt idx="3">
                  <c:v>100</c:v>
                </c:pt>
              </c:numCache>
            </c:numRef>
          </c:cat>
          <c:val>
            <c:numRef>
              <c:f>'NEW Report Graphs and Tables'!$C$147:$F$147</c:f>
              <c:numCache>
                <c:formatCode>"$"#,##0</c:formatCode>
                <c:ptCount val="4"/>
                <c:pt idx="0">
                  <c:v>970.85122291502387</c:v>
                </c:pt>
                <c:pt idx="1">
                  <c:v>506.78851874953449</c:v>
                </c:pt>
                <c:pt idx="2">
                  <c:v>200.89819247634088</c:v>
                </c:pt>
                <c:pt idx="3">
                  <c:v>96.489532640472532</c:v>
                </c:pt>
              </c:numCache>
            </c:numRef>
          </c:val>
        </c:ser>
        <c:ser>
          <c:idx val="2"/>
          <c:order val="2"/>
          <c:tx>
            <c:strRef>
              <c:f>'NEW Report Graphs and Tables'!$B$148</c:f>
              <c:strCache>
                <c:ptCount val="1"/>
                <c:pt idx="0">
                  <c:v>Marine Operations</c:v>
                </c:pt>
              </c:strCache>
            </c:strRef>
          </c:tx>
          <c:invertIfNegative val="0"/>
          <c:cat>
            <c:numRef>
              <c:f>'NEW Report Graphs and Tables'!$C$145:$F$145</c:f>
              <c:numCache>
                <c:formatCode>General</c:formatCode>
                <c:ptCount val="4"/>
                <c:pt idx="0">
                  <c:v>1</c:v>
                </c:pt>
                <c:pt idx="1">
                  <c:v>10</c:v>
                </c:pt>
                <c:pt idx="2">
                  <c:v>50</c:v>
                </c:pt>
                <c:pt idx="3">
                  <c:v>100</c:v>
                </c:pt>
              </c:numCache>
            </c:numRef>
          </c:cat>
          <c:val>
            <c:numRef>
              <c:f>'NEW Report Graphs and Tables'!$C$148:$F$148</c:f>
              <c:numCache>
                <c:formatCode>"$"#,##0</c:formatCode>
                <c:ptCount val="4"/>
                <c:pt idx="0">
                  <c:v>84.066130473637173</c:v>
                </c:pt>
                <c:pt idx="1">
                  <c:v>84.066130473637187</c:v>
                </c:pt>
                <c:pt idx="2">
                  <c:v>29.059874888293123</c:v>
                </c:pt>
                <c:pt idx="3">
                  <c:v>29.059874888293123</c:v>
                </c:pt>
              </c:numCache>
            </c:numRef>
          </c:val>
        </c:ser>
        <c:ser>
          <c:idx val="3"/>
          <c:order val="3"/>
          <c:tx>
            <c:strRef>
              <c:f>'NEW Report Graphs and Tables'!$B$149</c:f>
              <c:strCache>
                <c:ptCount val="1"/>
                <c:pt idx="0">
                  <c:v>Shoreside Operations</c:v>
                </c:pt>
              </c:strCache>
            </c:strRef>
          </c:tx>
          <c:invertIfNegative val="0"/>
          <c:cat>
            <c:numRef>
              <c:f>'NEW Report Graphs and Tables'!$C$145:$F$145</c:f>
              <c:numCache>
                <c:formatCode>General</c:formatCode>
                <c:ptCount val="4"/>
                <c:pt idx="0">
                  <c:v>1</c:v>
                </c:pt>
                <c:pt idx="1">
                  <c:v>10</c:v>
                </c:pt>
                <c:pt idx="2">
                  <c:v>50</c:v>
                </c:pt>
                <c:pt idx="3">
                  <c:v>100</c:v>
                </c:pt>
              </c:numCache>
            </c:numRef>
          </c:cat>
          <c:val>
            <c:numRef>
              <c:f>'NEW Report Graphs and Tables'!$C$149:$F$149</c:f>
              <c:numCache>
                <c:formatCode>"$"#,##0</c:formatCode>
                <c:ptCount val="4"/>
                <c:pt idx="0">
                  <c:v>701.23592493297588</c:v>
                </c:pt>
                <c:pt idx="1">
                  <c:v>107.22144772117963</c:v>
                </c:pt>
                <c:pt idx="2">
                  <c:v>24.380268096514744</c:v>
                </c:pt>
                <c:pt idx="3">
                  <c:v>18.086702412868632</c:v>
                </c:pt>
              </c:numCache>
            </c:numRef>
          </c:val>
        </c:ser>
        <c:ser>
          <c:idx val="4"/>
          <c:order val="4"/>
          <c:tx>
            <c:strRef>
              <c:f>'NEW Report Graphs and Tables'!$B$150</c:f>
              <c:strCache>
                <c:ptCount val="1"/>
                <c:pt idx="0">
                  <c:v>Replacement Parts</c:v>
                </c:pt>
              </c:strCache>
            </c:strRef>
          </c:tx>
          <c:invertIfNegative val="0"/>
          <c:cat>
            <c:numRef>
              <c:f>'NEW Report Graphs and Tables'!$C$145:$F$145</c:f>
              <c:numCache>
                <c:formatCode>General</c:formatCode>
                <c:ptCount val="4"/>
                <c:pt idx="0">
                  <c:v>1</c:v>
                </c:pt>
                <c:pt idx="1">
                  <c:v>10</c:v>
                </c:pt>
                <c:pt idx="2">
                  <c:v>50</c:v>
                </c:pt>
                <c:pt idx="3">
                  <c:v>100</c:v>
                </c:pt>
              </c:numCache>
            </c:numRef>
          </c:cat>
          <c:val>
            <c:numRef>
              <c:f>'NEW Report Graphs and Tables'!$C$150:$F$150</c:f>
              <c:numCache>
                <c:formatCode>"$"#,##0</c:formatCode>
                <c:ptCount val="4"/>
                <c:pt idx="0">
                  <c:v>125.35942913265255</c:v>
                </c:pt>
                <c:pt idx="1">
                  <c:v>11.446394660361644</c:v>
                </c:pt>
                <c:pt idx="2">
                  <c:v>2.1483131232039501</c:v>
                </c:pt>
                <c:pt idx="3">
                  <c:v>1.8312766999033421</c:v>
                </c:pt>
              </c:numCache>
            </c:numRef>
          </c:val>
        </c:ser>
        <c:ser>
          <c:idx val="5"/>
          <c:order val="5"/>
          <c:tx>
            <c:strRef>
              <c:f>'NEW Report Graphs and Tables'!$B$151</c:f>
              <c:strCache>
                <c:ptCount val="1"/>
                <c:pt idx="0">
                  <c:v>Consumables</c:v>
                </c:pt>
              </c:strCache>
            </c:strRef>
          </c:tx>
          <c:invertIfNegative val="0"/>
          <c:cat>
            <c:numRef>
              <c:f>'NEW Report Graphs and Tables'!$C$145:$F$145</c:f>
              <c:numCache>
                <c:formatCode>General</c:formatCode>
                <c:ptCount val="4"/>
                <c:pt idx="0">
                  <c:v>1</c:v>
                </c:pt>
                <c:pt idx="1">
                  <c:v>10</c:v>
                </c:pt>
                <c:pt idx="2">
                  <c:v>50</c:v>
                </c:pt>
                <c:pt idx="3">
                  <c:v>100</c:v>
                </c:pt>
              </c:numCache>
            </c:numRef>
          </c:cat>
          <c:val>
            <c:numRef>
              <c:f>'NEW Report Graphs and Tables'!$C$151:$F$151</c:f>
              <c:numCache>
                <c:formatCode>"$"#,##0</c:formatCode>
                <c:ptCount val="4"/>
                <c:pt idx="0">
                  <c:v>5.3619302949061662</c:v>
                </c:pt>
                <c:pt idx="1">
                  <c:v>5.3619302949061662</c:v>
                </c:pt>
                <c:pt idx="2">
                  <c:v>5.3619302949061662</c:v>
                </c:pt>
                <c:pt idx="3">
                  <c:v>5.3619302949061662</c:v>
                </c:pt>
              </c:numCache>
            </c:numRef>
          </c:val>
        </c:ser>
        <c:dLbls>
          <c:showLegendKey val="0"/>
          <c:showVal val="0"/>
          <c:showCatName val="0"/>
          <c:showSerName val="0"/>
          <c:showPercent val="0"/>
          <c:showBubbleSize val="0"/>
        </c:dLbls>
        <c:gapWidth val="150"/>
        <c:overlap val="100"/>
        <c:axId val="126853504"/>
        <c:axId val="126855424"/>
      </c:barChart>
      <c:catAx>
        <c:axId val="126853504"/>
        <c:scaling>
          <c:orientation val="minMax"/>
        </c:scaling>
        <c:delete val="0"/>
        <c:axPos val="b"/>
        <c:title>
          <c:tx>
            <c:rich>
              <a:bodyPr/>
              <a:lstStyle/>
              <a:p>
                <a:pPr>
                  <a:defRPr/>
                </a:pPr>
                <a:r>
                  <a:rPr lang="en-US" sz="1000" b="1" i="0" u="none" strike="noStrike" baseline="0">
                    <a:effectLst/>
                  </a:rPr>
                  <a:t>Array Scale [# of Units]</a:t>
                </a:r>
                <a:endParaRPr lang="en-US"/>
              </a:p>
            </c:rich>
          </c:tx>
          <c:overlay val="0"/>
        </c:title>
        <c:numFmt formatCode="General" sourceLinked="1"/>
        <c:majorTickMark val="out"/>
        <c:minorTickMark val="none"/>
        <c:tickLblPos val="nextTo"/>
        <c:crossAx val="126855424"/>
        <c:crosses val="autoZero"/>
        <c:auto val="1"/>
        <c:lblAlgn val="ctr"/>
        <c:lblOffset val="100"/>
        <c:noMultiLvlLbl val="0"/>
      </c:catAx>
      <c:valAx>
        <c:axId val="126855424"/>
        <c:scaling>
          <c:orientation val="minMax"/>
        </c:scaling>
        <c:delete val="0"/>
        <c:axPos val="l"/>
        <c:majorGridlines/>
        <c:title>
          <c:tx>
            <c:rich>
              <a:bodyPr rot="-5400000" vert="horz"/>
              <a:lstStyle/>
              <a:p>
                <a:pPr>
                  <a:defRPr/>
                </a:pPr>
                <a:r>
                  <a:rPr lang="en-US"/>
                  <a:t>$/kW</a:t>
                </a:r>
              </a:p>
            </c:rich>
          </c:tx>
          <c:overlay val="0"/>
        </c:title>
        <c:numFmt formatCode="&quot;$&quot;#,##0" sourceLinked="1"/>
        <c:majorTickMark val="out"/>
        <c:minorTickMark val="none"/>
        <c:tickLblPos val="nextTo"/>
        <c:crossAx val="1268535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'NEW Report Graphs and Tables'!$B$176</c:f>
              <c:strCache>
                <c:ptCount val="1"/>
                <c:pt idx="0">
                  <c:v>O&amp;M</c:v>
                </c:pt>
              </c:strCache>
            </c:strRef>
          </c:tx>
          <c:invertIfNegative val="0"/>
          <c:cat>
            <c:numRef>
              <c:f>'NEW Report Graphs and Tables'!$C$175:$F$175</c:f>
              <c:numCache>
                <c:formatCode>General</c:formatCode>
                <c:ptCount val="4"/>
                <c:pt idx="0">
                  <c:v>1</c:v>
                </c:pt>
                <c:pt idx="1">
                  <c:v>10</c:v>
                </c:pt>
                <c:pt idx="2">
                  <c:v>50</c:v>
                </c:pt>
                <c:pt idx="3">
                  <c:v>100</c:v>
                </c:pt>
              </c:numCache>
            </c:numRef>
          </c:cat>
          <c:val>
            <c:numRef>
              <c:f>'NEW Report Graphs and Tables'!$C$176:$F$176</c:f>
              <c:numCache>
                <c:formatCode>0.0</c:formatCode>
                <c:ptCount val="4"/>
                <c:pt idx="0">
                  <c:v>172.42799368611398</c:v>
                </c:pt>
                <c:pt idx="1">
                  <c:v>43.499775380579209</c:v>
                </c:pt>
                <c:pt idx="2">
                  <c:v>13.604553812471632</c:v>
                </c:pt>
                <c:pt idx="3">
                  <c:v>7.623550407208322</c:v>
                </c:pt>
              </c:numCache>
            </c:numRef>
          </c:val>
        </c:ser>
        <c:ser>
          <c:idx val="1"/>
          <c:order val="1"/>
          <c:tx>
            <c:strRef>
              <c:f>'NEW Report Graphs and Tables'!$B$177</c:f>
              <c:strCache>
                <c:ptCount val="1"/>
                <c:pt idx="0">
                  <c:v>Contingency</c:v>
                </c:pt>
              </c:strCache>
            </c:strRef>
          </c:tx>
          <c:invertIfNegative val="0"/>
          <c:cat>
            <c:numRef>
              <c:f>'NEW Report Graphs and Tables'!$C$175:$F$175</c:f>
              <c:numCache>
                <c:formatCode>General</c:formatCode>
                <c:ptCount val="4"/>
                <c:pt idx="0">
                  <c:v>1</c:v>
                </c:pt>
                <c:pt idx="1">
                  <c:v>10</c:v>
                </c:pt>
                <c:pt idx="2">
                  <c:v>50</c:v>
                </c:pt>
                <c:pt idx="3">
                  <c:v>100</c:v>
                </c:pt>
              </c:numCache>
            </c:numRef>
          </c:cat>
          <c:val>
            <c:numRef>
              <c:f>'NEW Report Graphs and Tables'!$C$177:$F$177</c:f>
              <c:numCache>
                <c:formatCode>0.0</c:formatCode>
                <c:ptCount val="4"/>
                <c:pt idx="0">
                  <c:v>27.863110759163241</c:v>
                </c:pt>
                <c:pt idx="1">
                  <c:v>14.044997448727113</c:v>
                </c:pt>
                <c:pt idx="2">
                  <c:v>9.7069702765286703</c:v>
                </c:pt>
                <c:pt idx="3">
                  <c:v>8.9724248205127761</c:v>
                </c:pt>
              </c:numCache>
            </c:numRef>
          </c:val>
        </c:ser>
        <c:ser>
          <c:idx val="2"/>
          <c:order val="2"/>
          <c:tx>
            <c:strRef>
              <c:f>'NEW Report Graphs and Tables'!$B$178</c:f>
              <c:strCache>
                <c:ptCount val="1"/>
                <c:pt idx="0">
                  <c:v>Subsystem Integration &amp; Profit Margin</c:v>
                </c:pt>
              </c:strCache>
            </c:strRef>
          </c:tx>
          <c:invertIfNegative val="0"/>
          <c:cat>
            <c:numRef>
              <c:f>'NEW Report Graphs and Tables'!$C$175:$F$175</c:f>
              <c:numCache>
                <c:formatCode>General</c:formatCode>
                <c:ptCount val="4"/>
                <c:pt idx="0">
                  <c:v>1</c:v>
                </c:pt>
                <c:pt idx="1">
                  <c:v>10</c:v>
                </c:pt>
                <c:pt idx="2">
                  <c:v>50</c:v>
                </c:pt>
                <c:pt idx="3">
                  <c:v>100</c:v>
                </c:pt>
              </c:numCache>
            </c:numRef>
          </c:cat>
          <c:val>
            <c:numRef>
              <c:f>'NEW Report Graphs and Tables'!$C$178:$F$178</c:f>
              <c:numCache>
                <c:formatCode>0.0</c:formatCode>
                <c:ptCount val="4"/>
                <c:pt idx="0">
                  <c:v>11.139466221636543</c:v>
                </c:pt>
                <c:pt idx="1">
                  <c:v>7.621661136203211</c:v>
                </c:pt>
                <c:pt idx="2">
                  <c:v>6.536465414958907</c:v>
                </c:pt>
                <c:pt idx="3">
                  <c:v>6.2592584165462011</c:v>
                </c:pt>
              </c:numCache>
            </c:numRef>
          </c:val>
        </c:ser>
        <c:ser>
          <c:idx val="3"/>
          <c:order val="3"/>
          <c:tx>
            <c:strRef>
              <c:f>'NEW Report Graphs and Tables'!$B$179</c:f>
              <c:strCache>
                <c:ptCount val="1"/>
                <c:pt idx="0">
                  <c:v>M&amp;D </c:v>
                </c:pt>
              </c:strCache>
            </c:strRef>
          </c:tx>
          <c:invertIfNegative val="0"/>
          <c:cat>
            <c:numRef>
              <c:f>'NEW Report Graphs and Tables'!$C$175:$F$175</c:f>
              <c:numCache>
                <c:formatCode>General</c:formatCode>
                <c:ptCount val="4"/>
                <c:pt idx="0">
                  <c:v>1</c:v>
                </c:pt>
                <c:pt idx="1">
                  <c:v>10</c:v>
                </c:pt>
                <c:pt idx="2">
                  <c:v>50</c:v>
                </c:pt>
                <c:pt idx="3">
                  <c:v>100</c:v>
                </c:pt>
              </c:numCache>
            </c:numRef>
          </c:cat>
          <c:val>
            <c:numRef>
              <c:f>'NEW Report Graphs and Tables'!$C$179:$F$179</c:f>
              <c:numCache>
                <c:formatCode>0.0</c:formatCode>
                <c:ptCount val="4"/>
                <c:pt idx="0">
                  <c:v>205.2781781956561</c:v>
                </c:pt>
                <c:pt idx="1">
                  <c:v>105.34928112227202</c:v>
                </c:pt>
                <c:pt idx="2">
                  <c:v>83.03011812989611</c:v>
                </c:pt>
                <c:pt idx="3">
                  <c:v>79.776735037846507</c:v>
                </c:pt>
              </c:numCache>
            </c:numRef>
          </c:val>
        </c:ser>
        <c:ser>
          <c:idx val="4"/>
          <c:order val="4"/>
          <c:tx>
            <c:strRef>
              <c:f>'NEW Report Graphs and Tables'!$B$180</c:f>
              <c:strCache>
                <c:ptCount val="1"/>
                <c:pt idx="0">
                  <c:v>Development</c:v>
                </c:pt>
              </c:strCache>
            </c:strRef>
          </c:tx>
          <c:invertIfNegative val="0"/>
          <c:cat>
            <c:numRef>
              <c:f>'NEW Report Graphs and Tables'!$C$175:$F$175</c:f>
              <c:numCache>
                <c:formatCode>General</c:formatCode>
                <c:ptCount val="4"/>
                <c:pt idx="0">
                  <c:v>1</c:v>
                </c:pt>
                <c:pt idx="1">
                  <c:v>10</c:v>
                </c:pt>
                <c:pt idx="2">
                  <c:v>50</c:v>
                </c:pt>
                <c:pt idx="3">
                  <c:v>100</c:v>
                </c:pt>
              </c:numCache>
            </c:numRef>
          </c:cat>
          <c:val>
            <c:numRef>
              <c:f>'NEW Report Graphs and Tables'!$C$180:$F$180</c:f>
              <c:numCache>
                <c:formatCode>0.0</c:formatCode>
                <c:ptCount val="4"/>
                <c:pt idx="0">
                  <c:v>62.213463174339743</c:v>
                </c:pt>
                <c:pt idx="1">
                  <c:v>27.479032228795905</c:v>
                </c:pt>
                <c:pt idx="2">
                  <c:v>7.5031192204316524</c:v>
                </c:pt>
                <c:pt idx="3">
                  <c:v>3.6882547507350529</c:v>
                </c:pt>
              </c:numCache>
            </c:numRef>
          </c:val>
        </c:ser>
        <c:dLbls>
          <c:showLegendKey val="0"/>
          <c:showVal val="0"/>
          <c:showCatName val="0"/>
          <c:showSerName val="0"/>
          <c:showPercent val="0"/>
          <c:showBubbleSize val="0"/>
        </c:dLbls>
        <c:gapWidth val="150"/>
        <c:overlap val="100"/>
        <c:axId val="127047168"/>
        <c:axId val="127049088"/>
      </c:barChart>
      <c:catAx>
        <c:axId val="127047168"/>
        <c:scaling>
          <c:orientation val="minMax"/>
        </c:scaling>
        <c:delete val="0"/>
        <c:axPos val="b"/>
        <c:title>
          <c:tx>
            <c:rich>
              <a:bodyPr/>
              <a:lstStyle/>
              <a:p>
                <a:pPr>
                  <a:defRPr/>
                </a:pPr>
                <a:r>
                  <a:rPr lang="en-US"/>
                  <a:t>Array Scale (# of Units)</a:t>
                </a:r>
              </a:p>
            </c:rich>
          </c:tx>
          <c:overlay val="0"/>
        </c:title>
        <c:numFmt formatCode="General" sourceLinked="1"/>
        <c:majorTickMark val="out"/>
        <c:minorTickMark val="none"/>
        <c:tickLblPos val="nextTo"/>
        <c:crossAx val="127049088"/>
        <c:crosses val="autoZero"/>
        <c:auto val="1"/>
        <c:lblAlgn val="ctr"/>
        <c:lblOffset val="100"/>
        <c:noMultiLvlLbl val="0"/>
      </c:catAx>
      <c:valAx>
        <c:axId val="127049088"/>
        <c:scaling>
          <c:orientation val="minMax"/>
        </c:scaling>
        <c:delete val="0"/>
        <c:axPos val="l"/>
        <c:majorGridlines/>
        <c:title>
          <c:tx>
            <c:rich>
              <a:bodyPr rot="-5400000" vert="horz"/>
              <a:lstStyle/>
              <a:p>
                <a:pPr>
                  <a:defRPr/>
                </a:pPr>
                <a:r>
                  <a:rPr lang="en-US"/>
                  <a:t>cents/kWh</a:t>
                </a:r>
              </a:p>
            </c:rich>
          </c:tx>
          <c:overlay val="0"/>
        </c:title>
        <c:numFmt formatCode="0.0" sourceLinked="1"/>
        <c:majorTickMark val="out"/>
        <c:minorTickMark val="none"/>
        <c:tickLblPos val="nextTo"/>
        <c:crossAx val="1270471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83418003629089"/>
          <c:y val="2.4160626092146951E-2"/>
          <c:w val="0.51679869373073584"/>
          <c:h val="0.84775265130069077"/>
        </c:manualLayout>
      </c:layout>
      <c:barChart>
        <c:barDir val="col"/>
        <c:grouping val="stacked"/>
        <c:varyColors val="0"/>
        <c:ser>
          <c:idx val="0"/>
          <c:order val="0"/>
          <c:tx>
            <c:strRef>
              <c:f>'NEW Report Graphs and Tables'!$B$207</c:f>
              <c:strCache>
                <c:ptCount val="1"/>
                <c:pt idx="0">
                  <c:v>Contingency</c:v>
                </c:pt>
              </c:strCache>
            </c:strRef>
          </c:tx>
          <c:invertIfNegative val="0"/>
          <c:cat>
            <c:numRef>
              <c:f>'NEW Report Graphs and Tables'!$C$206:$F$206</c:f>
              <c:numCache>
                <c:formatCode>General</c:formatCode>
                <c:ptCount val="4"/>
                <c:pt idx="0">
                  <c:v>1</c:v>
                </c:pt>
                <c:pt idx="1">
                  <c:v>10</c:v>
                </c:pt>
                <c:pt idx="2">
                  <c:v>50</c:v>
                </c:pt>
                <c:pt idx="3">
                  <c:v>100</c:v>
                </c:pt>
              </c:numCache>
            </c:numRef>
          </c:cat>
          <c:val>
            <c:numRef>
              <c:f>'NEW Report Graphs and Tables'!$C$207:$F$207</c:f>
              <c:numCache>
                <c:formatCode>0.0</c:formatCode>
                <c:ptCount val="4"/>
                <c:pt idx="0">
                  <c:v>27.863110759163241</c:v>
                </c:pt>
                <c:pt idx="1">
                  <c:v>14.044997448727113</c:v>
                </c:pt>
                <c:pt idx="2">
                  <c:v>9.7069702765286703</c:v>
                </c:pt>
                <c:pt idx="3">
                  <c:v>8.9724248205127761</c:v>
                </c:pt>
              </c:numCache>
            </c:numRef>
          </c:val>
        </c:ser>
        <c:ser>
          <c:idx val="1"/>
          <c:order val="1"/>
          <c:tx>
            <c:strRef>
              <c:f>'NEW Report Graphs and Tables'!$B$208</c:f>
              <c:strCache>
                <c:ptCount val="1"/>
                <c:pt idx="0">
                  <c:v>Subsystem Integration &amp; Profit Margin</c:v>
                </c:pt>
              </c:strCache>
            </c:strRef>
          </c:tx>
          <c:invertIfNegative val="0"/>
          <c:cat>
            <c:numRef>
              <c:f>'NEW Report Graphs and Tables'!$C$206:$F$206</c:f>
              <c:numCache>
                <c:formatCode>General</c:formatCode>
                <c:ptCount val="4"/>
                <c:pt idx="0">
                  <c:v>1</c:v>
                </c:pt>
                <c:pt idx="1">
                  <c:v>10</c:v>
                </c:pt>
                <c:pt idx="2">
                  <c:v>50</c:v>
                </c:pt>
                <c:pt idx="3">
                  <c:v>100</c:v>
                </c:pt>
              </c:numCache>
            </c:numRef>
          </c:cat>
          <c:val>
            <c:numRef>
              <c:f>'NEW Report Graphs and Tables'!$C$208:$F$208</c:f>
              <c:numCache>
                <c:formatCode>0.0</c:formatCode>
                <c:ptCount val="4"/>
                <c:pt idx="0">
                  <c:v>11.139466221636543</c:v>
                </c:pt>
                <c:pt idx="1">
                  <c:v>7.621661136203211</c:v>
                </c:pt>
                <c:pt idx="2">
                  <c:v>6.536465414958907</c:v>
                </c:pt>
                <c:pt idx="3">
                  <c:v>6.2592584165462011</c:v>
                </c:pt>
              </c:numCache>
            </c:numRef>
          </c:val>
        </c:ser>
        <c:ser>
          <c:idx val="2"/>
          <c:order val="2"/>
          <c:tx>
            <c:strRef>
              <c:f>'NEW Report Graphs and Tables'!$B$209</c:f>
              <c:strCache>
                <c:ptCount val="1"/>
                <c:pt idx="0">
                  <c:v>Installation</c:v>
                </c:pt>
              </c:strCache>
            </c:strRef>
          </c:tx>
          <c:invertIfNegative val="0"/>
          <c:cat>
            <c:numRef>
              <c:f>'NEW Report Graphs and Tables'!$C$206:$F$206</c:f>
              <c:numCache>
                <c:formatCode>General</c:formatCode>
                <c:ptCount val="4"/>
                <c:pt idx="0">
                  <c:v>1</c:v>
                </c:pt>
                <c:pt idx="1">
                  <c:v>10</c:v>
                </c:pt>
                <c:pt idx="2">
                  <c:v>50</c:v>
                </c:pt>
                <c:pt idx="3">
                  <c:v>100</c:v>
                </c:pt>
              </c:numCache>
            </c:numRef>
          </c:cat>
          <c:val>
            <c:numRef>
              <c:f>'NEW Report Graphs and Tables'!$C$209:$F$209</c:f>
              <c:numCache>
                <c:formatCode>0.0</c:formatCode>
                <c:ptCount val="4"/>
                <c:pt idx="0">
                  <c:v>70.622002633814219</c:v>
                </c:pt>
                <c:pt idx="1">
                  <c:v>10.855288281729731</c:v>
                </c:pt>
                <c:pt idx="2">
                  <c:v>5.1470678129388405</c:v>
                </c:pt>
                <c:pt idx="3">
                  <c:v>4.5251925298076561</c:v>
                </c:pt>
              </c:numCache>
            </c:numRef>
          </c:val>
        </c:ser>
        <c:ser>
          <c:idx val="3"/>
          <c:order val="3"/>
          <c:tx>
            <c:strRef>
              <c:f>'NEW Report Graphs and Tables'!$B$210</c:f>
              <c:strCache>
                <c:ptCount val="1"/>
                <c:pt idx="0">
                  <c:v>PCC</c:v>
                </c:pt>
              </c:strCache>
            </c:strRef>
          </c:tx>
          <c:invertIfNegative val="0"/>
          <c:cat>
            <c:numRef>
              <c:f>'NEW Report Graphs and Tables'!$C$206:$F$206</c:f>
              <c:numCache>
                <c:formatCode>General</c:formatCode>
                <c:ptCount val="4"/>
                <c:pt idx="0">
                  <c:v>1</c:v>
                </c:pt>
                <c:pt idx="1">
                  <c:v>10</c:v>
                </c:pt>
                <c:pt idx="2">
                  <c:v>50</c:v>
                </c:pt>
                <c:pt idx="3">
                  <c:v>100</c:v>
                </c:pt>
              </c:numCache>
            </c:numRef>
          </c:cat>
          <c:val>
            <c:numRef>
              <c:f>'NEW Report Graphs and Tables'!$C$210:$F$210</c:f>
              <c:numCache>
                <c:formatCode>0.0</c:formatCode>
                <c:ptCount val="4"/>
                <c:pt idx="0">
                  <c:v>19.569288558961055</c:v>
                </c:pt>
                <c:pt idx="1">
                  <c:v>11.653002870731333</c:v>
                </c:pt>
                <c:pt idx="2">
                  <c:v>8.1716442127287792</c:v>
                </c:pt>
                <c:pt idx="3">
                  <c:v>7.0296104473722023</c:v>
                </c:pt>
              </c:numCache>
            </c:numRef>
          </c:val>
        </c:ser>
        <c:ser>
          <c:idx val="4"/>
          <c:order val="4"/>
          <c:tx>
            <c:strRef>
              <c:f>'NEW Report Graphs and Tables'!$B$211</c:f>
              <c:strCache>
                <c:ptCount val="1"/>
                <c:pt idx="0">
                  <c:v>Device Structural Components</c:v>
                </c:pt>
              </c:strCache>
            </c:strRef>
          </c:tx>
          <c:invertIfNegative val="0"/>
          <c:cat>
            <c:numRef>
              <c:f>'NEW Report Graphs and Tables'!$C$206:$F$206</c:f>
              <c:numCache>
                <c:formatCode>General</c:formatCode>
                <c:ptCount val="4"/>
                <c:pt idx="0">
                  <c:v>1</c:v>
                </c:pt>
                <c:pt idx="1">
                  <c:v>10</c:v>
                </c:pt>
                <c:pt idx="2">
                  <c:v>50</c:v>
                </c:pt>
                <c:pt idx="3">
                  <c:v>100</c:v>
                </c:pt>
              </c:numCache>
            </c:numRef>
          </c:cat>
          <c:val>
            <c:numRef>
              <c:f>'NEW Report Graphs and Tables'!$C$211:$F$211</c:f>
              <c:numCache>
                <c:formatCode>0.0</c:formatCode>
                <c:ptCount val="4"/>
                <c:pt idx="0">
                  <c:v>91.825373657404356</c:v>
                </c:pt>
                <c:pt idx="1">
                  <c:v>64.563608491300783</c:v>
                </c:pt>
                <c:pt idx="2">
                  <c:v>57.1930099368603</c:v>
                </c:pt>
                <c:pt idx="3">
                  <c:v>55.5629737180898</c:v>
                </c:pt>
              </c:numCache>
            </c:numRef>
          </c:val>
        </c:ser>
        <c:ser>
          <c:idx val="5"/>
          <c:order val="5"/>
          <c:tx>
            <c:strRef>
              <c:f>'NEW Report Graphs and Tables'!$B$212</c:f>
              <c:strCache>
                <c:ptCount val="1"/>
                <c:pt idx="0">
                  <c:v>Mooring/Foundation</c:v>
                </c:pt>
              </c:strCache>
            </c:strRef>
          </c:tx>
          <c:invertIfNegative val="0"/>
          <c:cat>
            <c:numRef>
              <c:f>'NEW Report Graphs and Tables'!$C$206:$F$206</c:f>
              <c:numCache>
                <c:formatCode>General</c:formatCode>
                <c:ptCount val="4"/>
                <c:pt idx="0">
                  <c:v>1</c:v>
                </c:pt>
                <c:pt idx="1">
                  <c:v>10</c:v>
                </c:pt>
                <c:pt idx="2">
                  <c:v>50</c:v>
                </c:pt>
                <c:pt idx="3">
                  <c:v>100</c:v>
                </c:pt>
              </c:numCache>
            </c:numRef>
          </c:cat>
          <c:val>
            <c:numRef>
              <c:f>'NEW Report Graphs and Tables'!$C$212:$F$212</c:f>
              <c:numCache>
                <c:formatCode>0.0</c:formatCode>
                <c:ptCount val="4"/>
                <c:pt idx="0">
                  <c:v>9.9822126093535495</c:v>
                </c:pt>
                <c:pt idx="1">
                  <c:v>8.8946172320146974</c:v>
                </c:pt>
                <c:pt idx="2">
                  <c:v>8.64863342539957</c:v>
                </c:pt>
                <c:pt idx="3">
                  <c:v>8.4026496187844391</c:v>
                </c:pt>
              </c:numCache>
            </c:numRef>
          </c:val>
        </c:ser>
        <c:ser>
          <c:idx val="6"/>
          <c:order val="6"/>
          <c:tx>
            <c:strRef>
              <c:f>'NEW Report Graphs and Tables'!$B$213</c:f>
              <c:strCache>
                <c:ptCount val="1"/>
                <c:pt idx="0">
                  <c:v>Infrastructure</c:v>
                </c:pt>
              </c:strCache>
            </c:strRef>
          </c:tx>
          <c:invertIfNegative val="0"/>
          <c:cat>
            <c:numRef>
              <c:f>'NEW Report Graphs and Tables'!$C$206:$F$206</c:f>
              <c:numCache>
                <c:formatCode>General</c:formatCode>
                <c:ptCount val="4"/>
                <c:pt idx="0">
                  <c:v>1</c:v>
                </c:pt>
                <c:pt idx="1">
                  <c:v>10</c:v>
                </c:pt>
                <c:pt idx="2">
                  <c:v>50</c:v>
                </c:pt>
                <c:pt idx="3">
                  <c:v>100</c:v>
                </c:pt>
              </c:numCache>
            </c:numRef>
          </c:cat>
          <c:val>
            <c:numRef>
              <c:f>'NEW Report Graphs and Tables'!$C$213:$F$213</c:f>
              <c:numCache>
                <c:formatCode>0.0</c:formatCode>
                <c:ptCount val="4"/>
                <c:pt idx="0">
                  <c:v>13.279300736122902</c:v>
                </c:pt>
                <c:pt idx="1">
                  <c:v>9.3827642464954799</c:v>
                </c:pt>
                <c:pt idx="2">
                  <c:v>3.8697627419686329</c:v>
                </c:pt>
                <c:pt idx="3">
                  <c:v>4.2563087237924089</c:v>
                </c:pt>
              </c:numCache>
            </c:numRef>
          </c:val>
        </c:ser>
        <c:ser>
          <c:idx val="7"/>
          <c:order val="7"/>
          <c:tx>
            <c:strRef>
              <c:f>'NEW Report Graphs and Tables'!$B$214</c:f>
              <c:strCache>
                <c:ptCount val="1"/>
                <c:pt idx="0">
                  <c:v>Permitting and Environmental Compliance</c:v>
                </c:pt>
              </c:strCache>
            </c:strRef>
          </c:tx>
          <c:invertIfNegative val="0"/>
          <c:cat>
            <c:numRef>
              <c:f>'NEW Report Graphs and Tables'!$C$206:$F$206</c:f>
              <c:numCache>
                <c:formatCode>General</c:formatCode>
                <c:ptCount val="4"/>
                <c:pt idx="0">
                  <c:v>1</c:v>
                </c:pt>
                <c:pt idx="1">
                  <c:v>10</c:v>
                </c:pt>
                <c:pt idx="2">
                  <c:v>50</c:v>
                </c:pt>
                <c:pt idx="3">
                  <c:v>100</c:v>
                </c:pt>
              </c:numCache>
            </c:numRef>
          </c:cat>
          <c:val>
            <c:numRef>
              <c:f>'NEW Report Graphs and Tables'!$C$214:$F$214</c:f>
              <c:numCache>
                <c:formatCode>0.0</c:formatCode>
                <c:ptCount val="4"/>
                <c:pt idx="0">
                  <c:v>46.626959650418939</c:v>
                </c:pt>
                <c:pt idx="1">
                  <c:v>23.036777924182246</c:v>
                </c:pt>
                <c:pt idx="2">
                  <c:v>5.5294960454952093</c:v>
                </c:pt>
                <c:pt idx="3">
                  <c:v>2.7647480227476047</c:v>
                </c:pt>
              </c:numCache>
            </c:numRef>
          </c:val>
        </c:ser>
        <c:ser>
          <c:idx val="8"/>
          <c:order val="8"/>
          <c:tx>
            <c:strRef>
              <c:f>'NEW Report Graphs and Tables'!$B$215</c:f>
              <c:strCache>
                <c:ptCount val="1"/>
                <c:pt idx="0">
                  <c:v>Site Assessment</c:v>
                </c:pt>
              </c:strCache>
            </c:strRef>
          </c:tx>
          <c:invertIfNegative val="0"/>
          <c:cat>
            <c:numRef>
              <c:f>'NEW Report Graphs and Tables'!$C$206:$F$206</c:f>
              <c:numCache>
                <c:formatCode>General</c:formatCode>
                <c:ptCount val="4"/>
                <c:pt idx="0">
                  <c:v>1</c:v>
                </c:pt>
                <c:pt idx="1">
                  <c:v>10</c:v>
                </c:pt>
                <c:pt idx="2">
                  <c:v>50</c:v>
                </c:pt>
                <c:pt idx="3">
                  <c:v>100</c:v>
                </c:pt>
              </c:numCache>
            </c:numRef>
          </c:cat>
          <c:val>
            <c:numRef>
              <c:f>'NEW Report Graphs and Tables'!$C$215:$F$215</c:f>
              <c:numCache>
                <c:formatCode>0.0</c:formatCode>
                <c:ptCount val="4"/>
                <c:pt idx="0">
                  <c:v>2.3183555433668825</c:v>
                </c:pt>
                <c:pt idx="1">
                  <c:v>0.35147834867372063</c:v>
                </c:pt>
                <c:pt idx="2">
                  <c:v>7.0295669734744132E-2</c:v>
                </c:pt>
                <c:pt idx="3">
                  <c:v>3.5147834867372066E-2</c:v>
                </c:pt>
              </c:numCache>
            </c:numRef>
          </c:val>
        </c:ser>
        <c:ser>
          <c:idx val="9"/>
          <c:order val="9"/>
          <c:tx>
            <c:strRef>
              <c:f>'NEW Report Graphs and Tables'!$B$216</c:f>
              <c:strCache>
                <c:ptCount val="1"/>
                <c:pt idx="0">
                  <c:v>Project Design, Engineering, and Management</c:v>
                </c:pt>
              </c:strCache>
            </c:strRef>
          </c:tx>
          <c:invertIfNegative val="0"/>
          <c:cat>
            <c:numRef>
              <c:f>'NEW Report Graphs and Tables'!$C$206:$F$206</c:f>
              <c:numCache>
                <c:formatCode>General</c:formatCode>
                <c:ptCount val="4"/>
                <c:pt idx="0">
                  <c:v>1</c:v>
                </c:pt>
                <c:pt idx="1">
                  <c:v>10</c:v>
                </c:pt>
                <c:pt idx="2">
                  <c:v>50</c:v>
                </c:pt>
                <c:pt idx="3">
                  <c:v>100</c:v>
                </c:pt>
              </c:numCache>
            </c:numRef>
          </c:cat>
          <c:val>
            <c:numRef>
              <c:f>'NEW Report Graphs and Tables'!$C$216:$F$216</c:f>
              <c:numCache>
                <c:formatCode>0.0</c:formatCode>
                <c:ptCount val="4"/>
                <c:pt idx="0">
                  <c:v>13.268147980553925</c:v>
                </c:pt>
                <c:pt idx="1">
                  <c:v>4.0907759559399359</c:v>
                </c:pt>
                <c:pt idx="2">
                  <c:v>1.9033275052016996</c:v>
                </c:pt>
                <c:pt idx="3">
                  <c:v>0.88835889312007699</c:v>
                </c:pt>
              </c:numCache>
            </c:numRef>
          </c:val>
        </c:ser>
        <c:dLbls>
          <c:showLegendKey val="0"/>
          <c:showVal val="0"/>
          <c:showCatName val="0"/>
          <c:showSerName val="0"/>
          <c:showPercent val="0"/>
          <c:showBubbleSize val="0"/>
        </c:dLbls>
        <c:gapWidth val="150"/>
        <c:overlap val="100"/>
        <c:axId val="128531072"/>
        <c:axId val="128537344"/>
      </c:barChart>
      <c:catAx>
        <c:axId val="128531072"/>
        <c:scaling>
          <c:orientation val="minMax"/>
        </c:scaling>
        <c:delete val="0"/>
        <c:axPos val="b"/>
        <c:title>
          <c:tx>
            <c:rich>
              <a:bodyPr/>
              <a:lstStyle/>
              <a:p>
                <a:pPr>
                  <a:defRPr/>
                </a:pPr>
                <a:r>
                  <a:rPr lang="en-US"/>
                  <a:t>Array Scale (# of Units)</a:t>
                </a:r>
              </a:p>
            </c:rich>
          </c:tx>
          <c:overlay val="0"/>
        </c:title>
        <c:numFmt formatCode="General" sourceLinked="1"/>
        <c:majorTickMark val="out"/>
        <c:minorTickMark val="none"/>
        <c:tickLblPos val="nextTo"/>
        <c:crossAx val="128537344"/>
        <c:crosses val="autoZero"/>
        <c:auto val="1"/>
        <c:lblAlgn val="ctr"/>
        <c:lblOffset val="100"/>
        <c:noMultiLvlLbl val="0"/>
      </c:catAx>
      <c:valAx>
        <c:axId val="128537344"/>
        <c:scaling>
          <c:orientation val="minMax"/>
        </c:scaling>
        <c:delete val="0"/>
        <c:axPos val="l"/>
        <c:majorGridlines/>
        <c:title>
          <c:tx>
            <c:rich>
              <a:bodyPr rot="-5400000" vert="horz"/>
              <a:lstStyle/>
              <a:p>
                <a:pPr>
                  <a:defRPr/>
                </a:pPr>
                <a:r>
                  <a:rPr lang="en-US"/>
                  <a:t>cents/kWh</a:t>
                </a:r>
              </a:p>
            </c:rich>
          </c:tx>
          <c:overlay val="0"/>
        </c:title>
        <c:numFmt formatCode="0.0" sourceLinked="1"/>
        <c:majorTickMark val="out"/>
        <c:minorTickMark val="none"/>
        <c:tickLblPos val="nextTo"/>
        <c:crossAx val="1285310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'Report Tables'!$A$7</c:f>
              <c:strCache>
                <c:ptCount val="1"/>
                <c:pt idx="0">
                  <c:v>Development</c:v>
                </c:pt>
              </c:strCache>
            </c:strRef>
          </c:tx>
          <c:invertIfNegative val="0"/>
          <c:cat>
            <c:numRef>
              <c:f>'Report Graphs'!$B$2:$E$2</c:f>
              <c:numCache>
                <c:formatCode>General</c:formatCode>
                <c:ptCount val="4"/>
                <c:pt idx="0">
                  <c:v>1</c:v>
                </c:pt>
                <c:pt idx="1">
                  <c:v>10</c:v>
                </c:pt>
                <c:pt idx="2">
                  <c:v>50</c:v>
                </c:pt>
                <c:pt idx="3">
                  <c:v>100</c:v>
                </c:pt>
              </c:numCache>
            </c:numRef>
          </c:cat>
          <c:val>
            <c:numRef>
              <c:f>'Report Tables'!$B$22:$E$22</c:f>
              <c:numCache>
                <c:formatCode>"$"#,##0</c:formatCode>
                <c:ptCount val="4"/>
                <c:pt idx="0">
                  <c:v>13950</c:v>
                </c:pt>
                <c:pt idx="1">
                  <c:v>6160</c:v>
                </c:pt>
                <c:pt idx="2">
                  <c:v>1680</c:v>
                </c:pt>
                <c:pt idx="3">
                  <c:v>830</c:v>
                </c:pt>
              </c:numCache>
            </c:numRef>
          </c:val>
        </c:ser>
        <c:ser>
          <c:idx val="1"/>
          <c:order val="1"/>
          <c:tx>
            <c:strRef>
              <c:f>'Report Tables'!$A$8</c:f>
              <c:strCache>
                <c:ptCount val="1"/>
                <c:pt idx="0">
                  <c:v>Infrastructure</c:v>
                </c:pt>
              </c:strCache>
            </c:strRef>
          </c:tx>
          <c:invertIfNegative val="0"/>
          <c:cat>
            <c:numRef>
              <c:f>'Report Graphs'!$B$2:$E$2</c:f>
              <c:numCache>
                <c:formatCode>General</c:formatCode>
                <c:ptCount val="4"/>
                <c:pt idx="0">
                  <c:v>1</c:v>
                </c:pt>
                <c:pt idx="1">
                  <c:v>10</c:v>
                </c:pt>
                <c:pt idx="2">
                  <c:v>50</c:v>
                </c:pt>
                <c:pt idx="3">
                  <c:v>100</c:v>
                </c:pt>
              </c:numCache>
            </c:numRef>
          </c:cat>
          <c:val>
            <c:numRef>
              <c:f>'Report Tables'!$B$23:$E$23</c:f>
              <c:numCache>
                <c:formatCode>"$"#,##0</c:formatCode>
                <c:ptCount val="4"/>
                <c:pt idx="0">
                  <c:v>2980</c:v>
                </c:pt>
                <c:pt idx="1">
                  <c:v>2100</c:v>
                </c:pt>
                <c:pt idx="2">
                  <c:v>870</c:v>
                </c:pt>
                <c:pt idx="3">
                  <c:v>950</c:v>
                </c:pt>
              </c:numCache>
            </c:numRef>
          </c:val>
        </c:ser>
        <c:ser>
          <c:idx val="3"/>
          <c:order val="2"/>
          <c:tx>
            <c:strRef>
              <c:f>'Report Tables'!$A$9</c:f>
              <c:strCache>
                <c:ptCount val="1"/>
                <c:pt idx="0">
                  <c:v>Mooring/Foundation</c:v>
                </c:pt>
              </c:strCache>
            </c:strRef>
          </c:tx>
          <c:spPr>
            <a:solidFill>
              <a:srgbClr val="FFC000"/>
            </a:solidFill>
          </c:spPr>
          <c:invertIfNegative val="0"/>
          <c:cat>
            <c:numRef>
              <c:f>'Report Graphs'!$B$2:$E$2</c:f>
              <c:numCache>
                <c:formatCode>General</c:formatCode>
                <c:ptCount val="4"/>
                <c:pt idx="0">
                  <c:v>1</c:v>
                </c:pt>
                <c:pt idx="1">
                  <c:v>10</c:v>
                </c:pt>
                <c:pt idx="2">
                  <c:v>50</c:v>
                </c:pt>
                <c:pt idx="3">
                  <c:v>100</c:v>
                </c:pt>
              </c:numCache>
            </c:numRef>
          </c:cat>
          <c:val>
            <c:numRef>
              <c:f>'Report Tables'!$B$24:$E$24</c:f>
              <c:numCache>
                <c:formatCode>"$"#,##0</c:formatCode>
                <c:ptCount val="4"/>
                <c:pt idx="0">
                  <c:v>2240</c:v>
                </c:pt>
                <c:pt idx="1">
                  <c:v>2000</c:v>
                </c:pt>
                <c:pt idx="2">
                  <c:v>1940</c:v>
                </c:pt>
                <c:pt idx="3">
                  <c:v>1880</c:v>
                </c:pt>
              </c:numCache>
            </c:numRef>
          </c:val>
        </c:ser>
        <c:ser>
          <c:idx val="4"/>
          <c:order val="3"/>
          <c:tx>
            <c:strRef>
              <c:f>'Report Tables'!$A$10</c:f>
              <c:strCache>
                <c:ptCount val="1"/>
                <c:pt idx="0">
                  <c:v>Device Structural Components</c:v>
                </c:pt>
              </c:strCache>
            </c:strRef>
          </c:tx>
          <c:spPr>
            <a:solidFill>
              <a:srgbClr val="00B050"/>
            </a:solidFill>
          </c:spPr>
          <c:invertIfNegative val="0"/>
          <c:cat>
            <c:numRef>
              <c:f>'Report Graphs'!$B$2:$E$2</c:f>
              <c:numCache>
                <c:formatCode>General</c:formatCode>
                <c:ptCount val="4"/>
                <c:pt idx="0">
                  <c:v>1</c:v>
                </c:pt>
                <c:pt idx="1">
                  <c:v>10</c:v>
                </c:pt>
                <c:pt idx="2">
                  <c:v>50</c:v>
                </c:pt>
                <c:pt idx="3">
                  <c:v>100</c:v>
                </c:pt>
              </c:numCache>
            </c:numRef>
          </c:cat>
          <c:val>
            <c:numRef>
              <c:f>'Report Tables'!$B$25:$E$25</c:f>
              <c:numCache>
                <c:formatCode>"$"#,##0</c:formatCode>
                <c:ptCount val="4"/>
                <c:pt idx="0">
                  <c:v>20600</c:v>
                </c:pt>
                <c:pt idx="1">
                  <c:v>14480</c:v>
                </c:pt>
                <c:pt idx="2">
                  <c:v>12830</c:v>
                </c:pt>
                <c:pt idx="3">
                  <c:v>12460</c:v>
                </c:pt>
              </c:numCache>
            </c:numRef>
          </c:val>
        </c:ser>
        <c:ser>
          <c:idx val="5"/>
          <c:order val="4"/>
          <c:tx>
            <c:strRef>
              <c:f>'Report Tables'!$A$11</c:f>
              <c:strCache>
                <c:ptCount val="1"/>
                <c:pt idx="0">
                  <c:v>Power Conversion Chain</c:v>
                </c:pt>
              </c:strCache>
            </c:strRef>
          </c:tx>
          <c:invertIfNegative val="0"/>
          <c:cat>
            <c:numRef>
              <c:f>'Report Graphs'!$B$2:$E$2</c:f>
              <c:numCache>
                <c:formatCode>General</c:formatCode>
                <c:ptCount val="4"/>
                <c:pt idx="0">
                  <c:v>1</c:v>
                </c:pt>
                <c:pt idx="1">
                  <c:v>10</c:v>
                </c:pt>
                <c:pt idx="2">
                  <c:v>50</c:v>
                </c:pt>
                <c:pt idx="3">
                  <c:v>100</c:v>
                </c:pt>
              </c:numCache>
            </c:numRef>
          </c:cat>
          <c:val>
            <c:numRef>
              <c:f>'Report Tables'!$B$26:$E$26</c:f>
              <c:numCache>
                <c:formatCode>"$"#,##0</c:formatCode>
                <c:ptCount val="4"/>
                <c:pt idx="0">
                  <c:v>4390</c:v>
                </c:pt>
                <c:pt idx="1">
                  <c:v>2610</c:v>
                </c:pt>
                <c:pt idx="2">
                  <c:v>1830</c:v>
                </c:pt>
                <c:pt idx="3">
                  <c:v>1580</c:v>
                </c:pt>
              </c:numCache>
            </c:numRef>
          </c:val>
        </c:ser>
        <c:ser>
          <c:idx val="2"/>
          <c:order val="5"/>
          <c:tx>
            <c:strRef>
              <c:f>'Report Tables'!$A$12</c:f>
              <c:strCache>
                <c:ptCount val="1"/>
                <c:pt idx="0">
                  <c:v>Subsystem Integration &amp; Profit Margin</c:v>
                </c:pt>
              </c:strCache>
            </c:strRef>
          </c:tx>
          <c:invertIfNegative val="0"/>
          <c:cat>
            <c:numRef>
              <c:f>'Report Graphs'!$B$2:$E$2</c:f>
              <c:numCache>
                <c:formatCode>General</c:formatCode>
                <c:ptCount val="4"/>
                <c:pt idx="0">
                  <c:v>1</c:v>
                </c:pt>
                <c:pt idx="1">
                  <c:v>10</c:v>
                </c:pt>
                <c:pt idx="2">
                  <c:v>50</c:v>
                </c:pt>
                <c:pt idx="3">
                  <c:v>100</c:v>
                </c:pt>
              </c:numCache>
            </c:numRef>
          </c:cat>
          <c:val>
            <c:numRef>
              <c:f>'Report Tables'!$B$27:$E$27</c:f>
              <c:numCache>
                <c:formatCode>"$"#,##0</c:formatCode>
                <c:ptCount val="4"/>
                <c:pt idx="0">
                  <c:v>2500</c:v>
                </c:pt>
                <c:pt idx="1">
                  <c:v>1710</c:v>
                </c:pt>
                <c:pt idx="2">
                  <c:v>1470</c:v>
                </c:pt>
                <c:pt idx="3">
                  <c:v>1400</c:v>
                </c:pt>
              </c:numCache>
            </c:numRef>
          </c:val>
        </c:ser>
        <c:ser>
          <c:idx val="6"/>
          <c:order val="6"/>
          <c:tx>
            <c:strRef>
              <c:f>'Report Tables'!$A$13</c:f>
              <c:strCache>
                <c:ptCount val="1"/>
                <c:pt idx="0">
                  <c:v>Installation</c:v>
                </c:pt>
              </c:strCache>
            </c:strRef>
          </c:tx>
          <c:invertIfNegative val="0"/>
          <c:cat>
            <c:numRef>
              <c:f>'Report Graphs'!$B$2:$E$2</c:f>
              <c:numCache>
                <c:formatCode>General</c:formatCode>
                <c:ptCount val="4"/>
                <c:pt idx="0">
                  <c:v>1</c:v>
                </c:pt>
                <c:pt idx="1">
                  <c:v>10</c:v>
                </c:pt>
                <c:pt idx="2">
                  <c:v>50</c:v>
                </c:pt>
                <c:pt idx="3">
                  <c:v>100</c:v>
                </c:pt>
              </c:numCache>
            </c:numRef>
          </c:cat>
          <c:val>
            <c:numRef>
              <c:f>'Report Tables'!$B$28:$E$28</c:f>
              <c:numCache>
                <c:formatCode>"$"#,##0</c:formatCode>
                <c:ptCount val="4"/>
                <c:pt idx="0">
                  <c:v>15840</c:v>
                </c:pt>
                <c:pt idx="1">
                  <c:v>2430</c:v>
                </c:pt>
                <c:pt idx="2">
                  <c:v>1150</c:v>
                </c:pt>
                <c:pt idx="3">
                  <c:v>1020</c:v>
                </c:pt>
              </c:numCache>
            </c:numRef>
          </c:val>
        </c:ser>
        <c:ser>
          <c:idx val="7"/>
          <c:order val="7"/>
          <c:tx>
            <c:strRef>
              <c:f>'Report Tables'!$A$14</c:f>
              <c:strCache>
                <c:ptCount val="1"/>
                <c:pt idx="0">
                  <c:v>Contingency</c:v>
                </c:pt>
              </c:strCache>
            </c:strRef>
          </c:tx>
          <c:invertIfNegative val="0"/>
          <c:cat>
            <c:numRef>
              <c:f>'Report Graphs'!$B$2:$E$2</c:f>
              <c:numCache>
                <c:formatCode>General</c:formatCode>
                <c:ptCount val="4"/>
                <c:pt idx="0">
                  <c:v>1</c:v>
                </c:pt>
                <c:pt idx="1">
                  <c:v>10</c:v>
                </c:pt>
                <c:pt idx="2">
                  <c:v>50</c:v>
                </c:pt>
                <c:pt idx="3">
                  <c:v>100</c:v>
                </c:pt>
              </c:numCache>
            </c:numRef>
          </c:cat>
          <c:val>
            <c:numRef>
              <c:f>'Report Tables'!$B$29:$E$29</c:f>
              <c:numCache>
                <c:formatCode>"$"#,##0</c:formatCode>
                <c:ptCount val="4"/>
                <c:pt idx="0">
                  <c:v>6250</c:v>
                </c:pt>
                <c:pt idx="1">
                  <c:v>3150</c:v>
                </c:pt>
                <c:pt idx="2">
                  <c:v>2180</c:v>
                </c:pt>
                <c:pt idx="3">
                  <c:v>2010</c:v>
                </c:pt>
              </c:numCache>
            </c:numRef>
          </c:val>
        </c:ser>
        <c:dLbls>
          <c:showLegendKey val="0"/>
          <c:showVal val="0"/>
          <c:showCatName val="0"/>
          <c:showSerName val="0"/>
          <c:showPercent val="0"/>
          <c:showBubbleSize val="0"/>
        </c:dLbls>
        <c:gapWidth val="150"/>
        <c:overlap val="100"/>
        <c:axId val="119964800"/>
        <c:axId val="119966720"/>
      </c:barChart>
      <c:catAx>
        <c:axId val="119964800"/>
        <c:scaling>
          <c:orientation val="minMax"/>
        </c:scaling>
        <c:delete val="0"/>
        <c:axPos val="b"/>
        <c:majorGridlines>
          <c:spPr>
            <a:ln>
              <a:solidFill>
                <a:schemeClr val="bg1">
                  <a:lumMod val="85000"/>
                </a:schemeClr>
              </a:solidFill>
            </a:ln>
          </c:spPr>
        </c:majorGridlines>
        <c:title>
          <c:tx>
            <c:rich>
              <a:bodyPr/>
              <a:lstStyle/>
              <a:p>
                <a:pPr>
                  <a:defRPr/>
                </a:pPr>
                <a:r>
                  <a:rPr lang="en-US" baseline="0"/>
                  <a:t># of Units</a:t>
                </a:r>
              </a:p>
            </c:rich>
          </c:tx>
          <c:overlay val="0"/>
        </c:title>
        <c:numFmt formatCode="0" sourceLinked="0"/>
        <c:majorTickMark val="out"/>
        <c:minorTickMark val="none"/>
        <c:tickLblPos val="nextTo"/>
        <c:crossAx val="119966720"/>
        <c:crosses val="autoZero"/>
        <c:auto val="1"/>
        <c:lblAlgn val="ctr"/>
        <c:lblOffset val="100"/>
        <c:noMultiLvlLbl val="0"/>
      </c:catAx>
      <c:valAx>
        <c:axId val="119966720"/>
        <c:scaling>
          <c:orientation val="minMax"/>
          <c:min val="0"/>
        </c:scaling>
        <c:delete val="0"/>
        <c:axPos val="l"/>
        <c:majorGridlines>
          <c:spPr>
            <a:ln>
              <a:solidFill>
                <a:schemeClr val="bg1">
                  <a:lumMod val="85000"/>
                </a:schemeClr>
              </a:solidFill>
            </a:ln>
          </c:spPr>
        </c:majorGridlines>
        <c:title>
          <c:tx>
            <c:rich>
              <a:bodyPr rot="-5400000" vert="horz"/>
              <a:lstStyle/>
              <a:p>
                <a:pPr>
                  <a:defRPr/>
                </a:pPr>
                <a:r>
                  <a:rPr lang="en-US"/>
                  <a:t>Capex ($/kW)</a:t>
                </a:r>
              </a:p>
            </c:rich>
          </c:tx>
          <c:overlay val="0"/>
        </c:title>
        <c:numFmt formatCode="&quot;$&quot;#,##0" sourceLinked="1"/>
        <c:majorTickMark val="out"/>
        <c:minorTickMark val="none"/>
        <c:tickLblPos val="nextTo"/>
        <c:crossAx val="119964800"/>
        <c:crosses val="autoZero"/>
        <c:crossBetween val="between"/>
      </c:valAx>
    </c:plotArea>
    <c:legend>
      <c:legendPos val="r"/>
      <c:overlay val="0"/>
    </c:legend>
    <c:plotVisOnly val="1"/>
    <c:dispBlanksAs val="gap"/>
    <c:showDLblsOverMax val="0"/>
  </c:chart>
  <c:spPr>
    <a:solidFill>
      <a:sysClr val="window" lastClr="FFFFFF"/>
    </a:solidFill>
    <a:ln>
      <a:noFill/>
    </a:ln>
  </c:spPr>
  <c:printSettings>
    <c:headerFooter/>
    <c:pageMargins b="0.75000000000000133" l="0.70000000000000062" r="0.70000000000000062" t="0.750000000000001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'NEW Report Graphs and Tables'!$B$248</c:f>
              <c:strCache>
                <c:ptCount val="1"/>
                <c:pt idx="0">
                  <c:v>Post-Installation Environmental Monitoring</c:v>
                </c:pt>
              </c:strCache>
            </c:strRef>
          </c:tx>
          <c:invertIfNegative val="0"/>
          <c:cat>
            <c:numRef>
              <c:f>'NEW Report Graphs and Tables'!$C$247:$F$247</c:f>
              <c:numCache>
                <c:formatCode>General</c:formatCode>
                <c:ptCount val="4"/>
                <c:pt idx="0">
                  <c:v>1</c:v>
                </c:pt>
                <c:pt idx="1">
                  <c:v>10</c:v>
                </c:pt>
                <c:pt idx="2">
                  <c:v>50</c:v>
                </c:pt>
                <c:pt idx="3">
                  <c:v>100</c:v>
                </c:pt>
              </c:numCache>
            </c:numRef>
          </c:cat>
          <c:val>
            <c:numRef>
              <c:f>'NEW Report Graphs and Tables'!$C$248:$F$248</c:f>
              <c:numCache>
                <c:formatCode>0.0</c:formatCode>
                <c:ptCount val="4"/>
                <c:pt idx="0">
                  <c:v>94.576298184135055</c:v>
                </c:pt>
                <c:pt idx="1">
                  <c:v>14.003929064457893</c:v>
                </c:pt>
                <c:pt idx="2">
                  <c:v>2.8007858128915784</c:v>
                </c:pt>
                <c:pt idx="3">
                  <c:v>1.4003929064457892</c:v>
                </c:pt>
              </c:numCache>
            </c:numRef>
          </c:val>
        </c:ser>
        <c:ser>
          <c:idx val="1"/>
          <c:order val="1"/>
          <c:tx>
            <c:strRef>
              <c:f>'NEW Report Graphs and Tables'!$B$249</c:f>
              <c:strCache>
                <c:ptCount val="1"/>
                <c:pt idx="0">
                  <c:v>Insurance</c:v>
                </c:pt>
              </c:strCache>
            </c:strRef>
          </c:tx>
          <c:invertIfNegative val="0"/>
          <c:cat>
            <c:numRef>
              <c:f>'NEW Report Graphs and Tables'!$C$247:$F$247</c:f>
              <c:numCache>
                <c:formatCode>General</c:formatCode>
                <c:ptCount val="4"/>
                <c:pt idx="0">
                  <c:v>1</c:v>
                </c:pt>
                <c:pt idx="1">
                  <c:v>10</c:v>
                </c:pt>
                <c:pt idx="2">
                  <c:v>50</c:v>
                </c:pt>
                <c:pt idx="3">
                  <c:v>100</c:v>
                </c:pt>
              </c:numCache>
            </c:numRef>
          </c:cat>
          <c:val>
            <c:numRef>
              <c:f>'NEW Report Graphs and Tables'!$C$249:$F$249</c:f>
              <c:numCache>
                <c:formatCode>0.0</c:formatCode>
                <c:ptCount val="4"/>
                <c:pt idx="0">
                  <c:v>40.056934505338731</c:v>
                </c:pt>
                <c:pt idx="1">
                  <c:v>20.909892292925068</c:v>
                </c:pt>
                <c:pt idx="2">
                  <c:v>8.2889793495888568</c:v>
                </c:pt>
                <c:pt idx="3">
                  <c:v>3.9811196589165263</c:v>
                </c:pt>
              </c:numCache>
            </c:numRef>
          </c:val>
        </c:ser>
        <c:ser>
          <c:idx val="2"/>
          <c:order val="2"/>
          <c:tx>
            <c:strRef>
              <c:f>'NEW Report Graphs and Tables'!$B$250</c:f>
              <c:strCache>
                <c:ptCount val="1"/>
                <c:pt idx="0">
                  <c:v>Consumables</c:v>
                </c:pt>
              </c:strCache>
            </c:strRef>
          </c:tx>
          <c:invertIfNegative val="0"/>
          <c:cat>
            <c:numRef>
              <c:f>'NEW Report Graphs and Tables'!$C$247:$F$247</c:f>
              <c:numCache>
                <c:formatCode>General</c:formatCode>
                <c:ptCount val="4"/>
                <c:pt idx="0">
                  <c:v>1</c:v>
                </c:pt>
                <c:pt idx="1">
                  <c:v>10</c:v>
                </c:pt>
                <c:pt idx="2">
                  <c:v>50</c:v>
                </c:pt>
                <c:pt idx="3">
                  <c:v>100</c:v>
                </c:pt>
              </c:numCache>
            </c:numRef>
          </c:cat>
          <c:val>
            <c:numRef>
              <c:f>'NEW Report Graphs and Tables'!$C$250:$F$250</c:f>
              <c:numCache>
                <c:formatCode>0.0</c:formatCode>
                <c:ptCount val="4"/>
                <c:pt idx="0">
                  <c:v>0.2212311068634738</c:v>
                </c:pt>
                <c:pt idx="1">
                  <c:v>0.2212311068634738</c:v>
                </c:pt>
                <c:pt idx="2">
                  <c:v>0.22123110686347386</c:v>
                </c:pt>
                <c:pt idx="3">
                  <c:v>0.22123110686347386</c:v>
                </c:pt>
              </c:numCache>
            </c:numRef>
          </c:val>
        </c:ser>
        <c:ser>
          <c:idx val="3"/>
          <c:order val="3"/>
          <c:tx>
            <c:strRef>
              <c:f>'NEW Report Graphs and Tables'!$B$251</c:f>
              <c:strCache>
                <c:ptCount val="1"/>
                <c:pt idx="0">
                  <c:v>Replacement Parts</c:v>
                </c:pt>
              </c:strCache>
            </c:strRef>
          </c:tx>
          <c:invertIfNegative val="0"/>
          <c:cat>
            <c:numRef>
              <c:f>'NEW Report Graphs and Tables'!$C$247:$F$247</c:f>
              <c:numCache>
                <c:formatCode>General</c:formatCode>
                <c:ptCount val="4"/>
                <c:pt idx="0">
                  <c:v>1</c:v>
                </c:pt>
                <c:pt idx="1">
                  <c:v>10</c:v>
                </c:pt>
                <c:pt idx="2">
                  <c:v>50</c:v>
                </c:pt>
                <c:pt idx="3">
                  <c:v>100</c:v>
                </c:pt>
              </c:numCache>
            </c:numRef>
          </c:cat>
          <c:val>
            <c:numRef>
              <c:f>'NEW Report Graphs and Tables'!$C$251:$F$251</c:f>
              <c:numCache>
                <c:formatCode>0.0</c:formatCode>
                <c:ptCount val="4"/>
                <c:pt idx="0">
                  <c:v>5.1722800815103218</c:v>
                </c:pt>
                <c:pt idx="1">
                  <c:v>0.47227368149743515</c:v>
                </c:pt>
                <c:pt idx="2">
                  <c:v>8.8638543210314807E-2</c:v>
                </c:pt>
                <c:pt idx="3">
                  <c:v>7.5557746746126961E-2</c:v>
                </c:pt>
              </c:numCache>
            </c:numRef>
          </c:val>
        </c:ser>
        <c:ser>
          <c:idx val="4"/>
          <c:order val="4"/>
          <c:tx>
            <c:strRef>
              <c:f>'NEW Report Graphs and Tables'!$B$252</c:f>
              <c:strCache>
                <c:ptCount val="1"/>
                <c:pt idx="0">
                  <c:v>Shoreside Operations</c:v>
                </c:pt>
              </c:strCache>
            </c:strRef>
          </c:tx>
          <c:invertIfNegative val="0"/>
          <c:cat>
            <c:numRef>
              <c:f>'NEW Report Graphs and Tables'!$C$247:$F$247</c:f>
              <c:numCache>
                <c:formatCode>General</c:formatCode>
                <c:ptCount val="4"/>
                <c:pt idx="0">
                  <c:v>1</c:v>
                </c:pt>
                <c:pt idx="1">
                  <c:v>10</c:v>
                </c:pt>
                <c:pt idx="2">
                  <c:v>50</c:v>
                </c:pt>
                <c:pt idx="3">
                  <c:v>100</c:v>
                </c:pt>
              </c:numCache>
            </c:numRef>
          </c:cat>
          <c:val>
            <c:numRef>
              <c:f>'NEW Report Graphs and Tables'!$C$252:$F$252</c:f>
              <c:numCache>
                <c:formatCode>0.0</c:formatCode>
                <c:ptCount val="4"/>
                <c:pt idx="0">
                  <c:v>28.932714771158537</c:v>
                </c:pt>
                <c:pt idx="1">
                  <c:v>4.4239141977275134</c:v>
                </c:pt>
                <c:pt idx="2">
                  <c:v>1.0059201444196666</c:v>
                </c:pt>
                <c:pt idx="3">
                  <c:v>0.74625013273866403</c:v>
                </c:pt>
              </c:numCache>
            </c:numRef>
          </c:val>
        </c:ser>
        <c:ser>
          <c:idx val="5"/>
          <c:order val="5"/>
          <c:tx>
            <c:strRef>
              <c:f>'NEW Report Graphs and Tables'!$B$253</c:f>
              <c:strCache>
                <c:ptCount val="1"/>
                <c:pt idx="0">
                  <c:v>Marine Operations</c:v>
                </c:pt>
              </c:strCache>
            </c:strRef>
          </c:tx>
          <c:invertIfNegative val="0"/>
          <c:cat>
            <c:numRef>
              <c:f>'NEW Report Graphs and Tables'!$C$247:$F$247</c:f>
              <c:numCache>
                <c:formatCode>General</c:formatCode>
                <c:ptCount val="4"/>
                <c:pt idx="0">
                  <c:v>1</c:v>
                </c:pt>
                <c:pt idx="1">
                  <c:v>10</c:v>
                </c:pt>
                <c:pt idx="2">
                  <c:v>50</c:v>
                </c:pt>
                <c:pt idx="3">
                  <c:v>100</c:v>
                </c:pt>
              </c:numCache>
            </c:numRef>
          </c:cat>
          <c:val>
            <c:numRef>
              <c:f>'NEW Report Graphs and Tables'!$C$253:$F$253</c:f>
              <c:numCache>
                <c:formatCode>0.0</c:formatCode>
                <c:ptCount val="4"/>
                <c:pt idx="0">
                  <c:v>3.4685350371078307</c:v>
                </c:pt>
                <c:pt idx="1">
                  <c:v>3.4685350371078307</c:v>
                </c:pt>
                <c:pt idx="2">
                  <c:v>1.1989988554977404</c:v>
                </c:pt>
                <c:pt idx="3">
                  <c:v>1.1989988554977404</c:v>
                </c:pt>
              </c:numCache>
            </c:numRef>
          </c:val>
        </c:ser>
        <c:dLbls>
          <c:showLegendKey val="0"/>
          <c:showVal val="0"/>
          <c:showCatName val="0"/>
          <c:showSerName val="0"/>
          <c:showPercent val="0"/>
          <c:showBubbleSize val="0"/>
        </c:dLbls>
        <c:gapWidth val="150"/>
        <c:overlap val="100"/>
        <c:axId val="128578688"/>
        <c:axId val="128580608"/>
      </c:barChart>
      <c:catAx>
        <c:axId val="128578688"/>
        <c:scaling>
          <c:orientation val="minMax"/>
        </c:scaling>
        <c:delete val="0"/>
        <c:axPos val="b"/>
        <c:title>
          <c:tx>
            <c:rich>
              <a:bodyPr/>
              <a:lstStyle/>
              <a:p>
                <a:pPr>
                  <a:defRPr/>
                </a:pPr>
                <a:r>
                  <a:rPr lang="en-US"/>
                  <a:t>Array Scale (#of Units)</a:t>
                </a:r>
              </a:p>
            </c:rich>
          </c:tx>
          <c:overlay val="0"/>
        </c:title>
        <c:numFmt formatCode="General" sourceLinked="1"/>
        <c:majorTickMark val="out"/>
        <c:minorTickMark val="none"/>
        <c:tickLblPos val="nextTo"/>
        <c:crossAx val="128580608"/>
        <c:crosses val="autoZero"/>
        <c:auto val="1"/>
        <c:lblAlgn val="ctr"/>
        <c:lblOffset val="100"/>
        <c:noMultiLvlLbl val="0"/>
      </c:catAx>
      <c:valAx>
        <c:axId val="128580608"/>
        <c:scaling>
          <c:orientation val="minMax"/>
        </c:scaling>
        <c:delete val="0"/>
        <c:axPos val="l"/>
        <c:majorGridlines/>
        <c:title>
          <c:tx>
            <c:rich>
              <a:bodyPr rot="-5400000" vert="horz"/>
              <a:lstStyle/>
              <a:p>
                <a:pPr>
                  <a:defRPr/>
                </a:pPr>
                <a:r>
                  <a:rPr lang="en-US"/>
                  <a:t>cents/kWh</a:t>
                </a:r>
              </a:p>
            </c:rich>
          </c:tx>
          <c:overlay val="0"/>
        </c:title>
        <c:numFmt formatCode="0.0" sourceLinked="1"/>
        <c:majorTickMark val="out"/>
        <c:minorTickMark val="none"/>
        <c:tickLblPos val="nextTo"/>
        <c:crossAx val="1285786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LCOE Uncertainty (10-unit</a:t>
            </a:r>
            <a:r>
              <a:rPr lang="en-US" baseline="0"/>
              <a:t> scale)</a:t>
            </a:r>
          </a:p>
        </c:rich>
      </c:tx>
      <c:overlay val="0"/>
    </c:title>
    <c:autoTitleDeleted val="0"/>
    <c:plotArea>
      <c:layout>
        <c:manualLayout>
          <c:layoutTarget val="inner"/>
          <c:xMode val="edge"/>
          <c:yMode val="edge"/>
          <c:x val="0.10608399161869389"/>
          <c:y val="0.12884639217564109"/>
          <c:w val="0.62135031129507723"/>
          <c:h val="0.73563445368223135"/>
        </c:manualLayout>
      </c:layout>
      <c:barChart>
        <c:barDir val="col"/>
        <c:grouping val="clustered"/>
        <c:varyColors val="0"/>
        <c:ser>
          <c:idx val="0"/>
          <c:order val="0"/>
          <c:tx>
            <c:v>LCOE Uncertainty due to Structural Mass (10-unit Scale)</c:v>
          </c:tx>
          <c:invertIfNegative val="0"/>
          <c:cat>
            <c:numRef>
              <c:f>('Mass Uncertainty'!$U$3:$V$3,'Mass Uncertainty'!$T$3,'Mass Uncertainty'!$W$3:$X$3)</c:f>
              <c:numCache>
                <c:formatCode>0%</c:formatCode>
                <c:ptCount val="5"/>
                <c:pt idx="0">
                  <c:v>0.6</c:v>
                </c:pt>
                <c:pt idx="1">
                  <c:v>0.8</c:v>
                </c:pt>
                <c:pt idx="2">
                  <c:v>1</c:v>
                </c:pt>
                <c:pt idx="3">
                  <c:v>1.2</c:v>
                </c:pt>
                <c:pt idx="4">
                  <c:v>1.4</c:v>
                </c:pt>
              </c:numCache>
            </c:numRef>
          </c:cat>
          <c:val>
            <c:numRef>
              <c:f>('Mass Uncertainty'!$U$63:$V$63,'Mass Uncertainty'!$T$63,'Mass Uncertainty'!$W$63:$X$63)</c:f>
              <c:numCache>
                <c:formatCode>"$"#,##0.00</c:formatCode>
                <c:ptCount val="5"/>
                <c:pt idx="0">
                  <c:v>1.7216930392005714</c:v>
                </c:pt>
                <c:pt idx="1">
                  <c:v>1.8508202561831735</c:v>
                </c:pt>
                <c:pt idx="2">
                  <c:v>1.9799474731657747</c:v>
                </c:pt>
                <c:pt idx="3">
                  <c:v>2.1090746901483763</c:v>
                </c:pt>
                <c:pt idx="4">
                  <c:v>2.2382019071309776</c:v>
                </c:pt>
              </c:numCache>
            </c:numRef>
          </c:val>
        </c:ser>
        <c:dLbls>
          <c:showLegendKey val="0"/>
          <c:showVal val="0"/>
          <c:showCatName val="0"/>
          <c:showSerName val="0"/>
          <c:showPercent val="0"/>
          <c:showBubbleSize val="0"/>
        </c:dLbls>
        <c:gapWidth val="150"/>
        <c:axId val="129172608"/>
        <c:axId val="129174528"/>
      </c:barChart>
      <c:catAx>
        <c:axId val="129172608"/>
        <c:scaling>
          <c:orientation val="minMax"/>
        </c:scaling>
        <c:delete val="0"/>
        <c:axPos val="b"/>
        <c:title>
          <c:tx>
            <c:rich>
              <a:bodyPr/>
              <a:lstStyle/>
              <a:p>
                <a:pPr>
                  <a:defRPr/>
                </a:pPr>
                <a:r>
                  <a:rPr lang="en-US" sz="1050" b="1"/>
                  <a:t>Percent</a:t>
                </a:r>
                <a:r>
                  <a:rPr lang="en-US" sz="1050" b="1" baseline="0"/>
                  <a:t> of Device Structural Mass</a:t>
                </a:r>
                <a:endParaRPr lang="en-US" sz="1050" b="1"/>
              </a:p>
            </c:rich>
          </c:tx>
          <c:overlay val="0"/>
        </c:title>
        <c:numFmt formatCode="0%" sourceLinked="1"/>
        <c:majorTickMark val="out"/>
        <c:minorTickMark val="none"/>
        <c:tickLblPos val="nextTo"/>
        <c:crossAx val="129174528"/>
        <c:crosses val="autoZero"/>
        <c:auto val="1"/>
        <c:lblAlgn val="ctr"/>
        <c:lblOffset val="100"/>
        <c:noMultiLvlLbl val="0"/>
      </c:catAx>
      <c:valAx>
        <c:axId val="129174528"/>
        <c:scaling>
          <c:orientation val="minMax"/>
          <c:min val="1.5"/>
        </c:scaling>
        <c:delete val="0"/>
        <c:axPos val="l"/>
        <c:majorGridlines/>
        <c:title>
          <c:tx>
            <c:rich>
              <a:bodyPr rot="-5400000" vert="horz"/>
              <a:lstStyle/>
              <a:p>
                <a:pPr>
                  <a:defRPr/>
                </a:pPr>
                <a:r>
                  <a:rPr lang="en-US" sz="1050" b="1"/>
                  <a:t>LCOE</a:t>
                </a:r>
                <a:r>
                  <a:rPr lang="en-US" sz="1050" b="1" baseline="0"/>
                  <a:t> [$/kWh</a:t>
                </a:r>
                <a:r>
                  <a:rPr lang="en-US" baseline="0"/>
                  <a:t>]</a:t>
                </a:r>
                <a:endParaRPr lang="en-US"/>
              </a:p>
            </c:rich>
          </c:tx>
          <c:overlay val="0"/>
        </c:title>
        <c:numFmt formatCode="&quot;$&quot;#,##0.00" sourceLinked="1"/>
        <c:majorTickMark val="out"/>
        <c:minorTickMark val="none"/>
        <c:tickLblPos val="nextTo"/>
        <c:crossAx val="129172608"/>
        <c:crosses val="autoZero"/>
        <c:crossBetween val="between"/>
      </c:valAx>
    </c:plotArea>
    <c:legend>
      <c:legendPos val="r"/>
      <c:layout>
        <c:manualLayout>
          <c:xMode val="edge"/>
          <c:yMode val="edge"/>
          <c:x val="0.74162948697403241"/>
          <c:y val="0.43999649906038835"/>
          <c:w val="0.24772412498077154"/>
          <c:h val="0.24547710911117124"/>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RM6 Weight (tonnes)</a:t>
            </a:r>
          </a:p>
        </c:rich>
      </c:tx>
      <c:overlay val="0"/>
    </c:title>
    <c:autoTitleDeleted val="0"/>
    <c:plotArea>
      <c:layout/>
      <c:barChart>
        <c:barDir val="col"/>
        <c:grouping val="clustered"/>
        <c:varyColors val="0"/>
        <c:ser>
          <c:idx val="0"/>
          <c:order val="0"/>
          <c:tx>
            <c:strRef>
              <c:f>'1.4'!$I$3</c:f>
              <c:strCache>
                <c:ptCount val="1"/>
                <c:pt idx="0">
                  <c:v>Weight (tonnes)</c:v>
                </c:pt>
              </c:strCache>
            </c:strRef>
          </c:tx>
          <c:invertIfNegative val="0"/>
          <c:cat>
            <c:strRef>
              <c:f>'1.4'!$D$4:$D$7</c:f>
              <c:strCache>
                <c:ptCount val="4"/>
                <c:pt idx="0">
                  <c:v>Backward Bent Duct Main Structure</c:v>
                </c:pt>
                <c:pt idx="1">
                  <c:v>Stern Float</c:v>
                </c:pt>
                <c:pt idx="2">
                  <c:v>Bow Float</c:v>
                </c:pt>
                <c:pt idx="3">
                  <c:v>Girders and Structural Supports</c:v>
                </c:pt>
              </c:strCache>
            </c:strRef>
          </c:cat>
          <c:val>
            <c:numRef>
              <c:f>'1.4'!$I$4:$I$7</c:f>
              <c:numCache>
                <c:formatCode>#,##0</c:formatCode>
                <c:ptCount val="4"/>
                <c:pt idx="0">
                  <c:v>664.101</c:v>
                </c:pt>
                <c:pt idx="1">
                  <c:v>109.63500000000001</c:v>
                </c:pt>
                <c:pt idx="2">
                  <c:v>100.075</c:v>
                </c:pt>
                <c:pt idx="3">
                  <c:v>922.96662578000007</c:v>
                </c:pt>
              </c:numCache>
            </c:numRef>
          </c:val>
        </c:ser>
        <c:dLbls>
          <c:showLegendKey val="0"/>
          <c:showVal val="0"/>
          <c:showCatName val="0"/>
          <c:showSerName val="0"/>
          <c:showPercent val="0"/>
          <c:showBubbleSize val="0"/>
        </c:dLbls>
        <c:gapWidth val="150"/>
        <c:axId val="153534848"/>
        <c:axId val="153536384"/>
      </c:barChart>
      <c:catAx>
        <c:axId val="153534848"/>
        <c:scaling>
          <c:orientation val="minMax"/>
        </c:scaling>
        <c:delete val="0"/>
        <c:axPos val="b"/>
        <c:majorTickMark val="out"/>
        <c:minorTickMark val="none"/>
        <c:tickLblPos val="nextTo"/>
        <c:crossAx val="153536384"/>
        <c:crosses val="autoZero"/>
        <c:auto val="1"/>
        <c:lblAlgn val="ctr"/>
        <c:lblOffset val="100"/>
        <c:noMultiLvlLbl val="0"/>
      </c:catAx>
      <c:valAx>
        <c:axId val="153536384"/>
        <c:scaling>
          <c:orientation val="minMax"/>
        </c:scaling>
        <c:delete val="0"/>
        <c:axPos val="l"/>
        <c:majorGridlines/>
        <c:numFmt formatCode="#,##0" sourceLinked="1"/>
        <c:majorTickMark val="out"/>
        <c:minorTickMark val="none"/>
        <c:tickLblPos val="nextTo"/>
        <c:crossAx val="1535348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'Report Tables'!$A$7</c:f>
              <c:strCache>
                <c:ptCount val="1"/>
                <c:pt idx="0">
                  <c:v>Development</c:v>
                </c:pt>
              </c:strCache>
            </c:strRef>
          </c:tx>
          <c:invertIfNegative val="0"/>
          <c:cat>
            <c:numRef>
              <c:f>'Report Graphs'!$C$2:$E$2</c:f>
              <c:numCache>
                <c:formatCode>General</c:formatCode>
                <c:ptCount val="3"/>
                <c:pt idx="0">
                  <c:v>10</c:v>
                </c:pt>
                <c:pt idx="1">
                  <c:v>50</c:v>
                </c:pt>
                <c:pt idx="2">
                  <c:v>100</c:v>
                </c:pt>
              </c:numCache>
            </c:numRef>
          </c:cat>
          <c:val>
            <c:numRef>
              <c:f>('Report Tables'!$B$37,'Report Tables'!$D$37,'Report Tables'!$F$37)</c:f>
              <c:numCache>
                <c:formatCode>#,##0.0</c:formatCode>
                <c:ptCount val="3"/>
                <c:pt idx="0">
                  <c:v>27.479032228795905</c:v>
                </c:pt>
                <c:pt idx="1">
                  <c:v>7.5031192204316524</c:v>
                </c:pt>
                <c:pt idx="2" formatCode="0.0">
                  <c:v>3.6882547507350529</c:v>
                </c:pt>
              </c:numCache>
            </c:numRef>
          </c:val>
        </c:ser>
        <c:ser>
          <c:idx val="1"/>
          <c:order val="1"/>
          <c:tx>
            <c:strRef>
              <c:f>'Report Tables'!$A$8</c:f>
              <c:strCache>
                <c:ptCount val="1"/>
                <c:pt idx="0">
                  <c:v>Infrastructure</c:v>
                </c:pt>
              </c:strCache>
            </c:strRef>
          </c:tx>
          <c:invertIfNegative val="0"/>
          <c:cat>
            <c:numRef>
              <c:f>'Report Graphs'!$C$2:$E$2</c:f>
              <c:numCache>
                <c:formatCode>General</c:formatCode>
                <c:ptCount val="3"/>
                <c:pt idx="0">
                  <c:v>10</c:v>
                </c:pt>
                <c:pt idx="1">
                  <c:v>50</c:v>
                </c:pt>
                <c:pt idx="2">
                  <c:v>100</c:v>
                </c:pt>
              </c:numCache>
            </c:numRef>
          </c:cat>
          <c:val>
            <c:numRef>
              <c:f>('Report Tables'!$B$38,'Report Tables'!$D$38,'Report Tables'!$F$38)</c:f>
              <c:numCache>
                <c:formatCode>#,##0.0</c:formatCode>
                <c:ptCount val="3"/>
                <c:pt idx="0">
                  <c:v>9.3827642464954799</c:v>
                </c:pt>
                <c:pt idx="1">
                  <c:v>3.8697627419686329</c:v>
                </c:pt>
                <c:pt idx="2" formatCode="0.0">
                  <c:v>4.2563087237924089</c:v>
                </c:pt>
              </c:numCache>
            </c:numRef>
          </c:val>
        </c:ser>
        <c:ser>
          <c:idx val="3"/>
          <c:order val="2"/>
          <c:tx>
            <c:strRef>
              <c:f>'Report Tables'!$A$9</c:f>
              <c:strCache>
                <c:ptCount val="1"/>
                <c:pt idx="0">
                  <c:v>Mooring/Foundation</c:v>
                </c:pt>
              </c:strCache>
            </c:strRef>
          </c:tx>
          <c:spPr>
            <a:solidFill>
              <a:srgbClr val="FFC000"/>
            </a:solidFill>
          </c:spPr>
          <c:invertIfNegative val="0"/>
          <c:cat>
            <c:numRef>
              <c:f>'Report Graphs'!$C$2:$E$2</c:f>
              <c:numCache>
                <c:formatCode>General</c:formatCode>
                <c:ptCount val="3"/>
                <c:pt idx="0">
                  <c:v>10</c:v>
                </c:pt>
                <c:pt idx="1">
                  <c:v>50</c:v>
                </c:pt>
                <c:pt idx="2">
                  <c:v>100</c:v>
                </c:pt>
              </c:numCache>
            </c:numRef>
          </c:cat>
          <c:val>
            <c:numRef>
              <c:f>('Report Tables'!$B$39,'Report Tables'!$D$39,'Report Tables'!$F$39)</c:f>
              <c:numCache>
                <c:formatCode>#,##0.0</c:formatCode>
                <c:ptCount val="3"/>
                <c:pt idx="0">
                  <c:v>8.8946172320146974</c:v>
                </c:pt>
                <c:pt idx="1">
                  <c:v>8.64863342539957</c:v>
                </c:pt>
                <c:pt idx="2" formatCode="0.0">
                  <c:v>8.4026496187844391</c:v>
                </c:pt>
              </c:numCache>
            </c:numRef>
          </c:val>
        </c:ser>
        <c:ser>
          <c:idx val="4"/>
          <c:order val="3"/>
          <c:tx>
            <c:strRef>
              <c:f>'Report Tables'!$A$10</c:f>
              <c:strCache>
                <c:ptCount val="1"/>
                <c:pt idx="0">
                  <c:v>Device Structural Components</c:v>
                </c:pt>
              </c:strCache>
            </c:strRef>
          </c:tx>
          <c:spPr>
            <a:solidFill>
              <a:srgbClr val="00B050"/>
            </a:solidFill>
          </c:spPr>
          <c:invertIfNegative val="0"/>
          <c:cat>
            <c:numRef>
              <c:f>'Report Graphs'!$C$2:$E$2</c:f>
              <c:numCache>
                <c:formatCode>General</c:formatCode>
                <c:ptCount val="3"/>
                <c:pt idx="0">
                  <c:v>10</c:v>
                </c:pt>
                <c:pt idx="1">
                  <c:v>50</c:v>
                </c:pt>
                <c:pt idx="2">
                  <c:v>100</c:v>
                </c:pt>
              </c:numCache>
            </c:numRef>
          </c:cat>
          <c:val>
            <c:numRef>
              <c:f>('Report Tables'!$B$40,'Report Tables'!$D$40,'Report Tables'!$F$40)</c:f>
              <c:numCache>
                <c:formatCode>#,##0.0</c:formatCode>
                <c:ptCount val="3"/>
                <c:pt idx="0">
                  <c:v>64.563608491300783</c:v>
                </c:pt>
                <c:pt idx="1">
                  <c:v>57.1930099368603</c:v>
                </c:pt>
                <c:pt idx="2" formatCode="0.0">
                  <c:v>55.5629737180898</c:v>
                </c:pt>
              </c:numCache>
            </c:numRef>
          </c:val>
        </c:ser>
        <c:ser>
          <c:idx val="5"/>
          <c:order val="4"/>
          <c:tx>
            <c:strRef>
              <c:f>'Report Tables'!$A$11</c:f>
              <c:strCache>
                <c:ptCount val="1"/>
                <c:pt idx="0">
                  <c:v>Power Conversion Chain</c:v>
                </c:pt>
              </c:strCache>
            </c:strRef>
          </c:tx>
          <c:invertIfNegative val="0"/>
          <c:cat>
            <c:numRef>
              <c:f>'Report Graphs'!$C$2:$E$2</c:f>
              <c:numCache>
                <c:formatCode>General</c:formatCode>
                <c:ptCount val="3"/>
                <c:pt idx="0">
                  <c:v>10</c:v>
                </c:pt>
                <c:pt idx="1">
                  <c:v>50</c:v>
                </c:pt>
                <c:pt idx="2">
                  <c:v>100</c:v>
                </c:pt>
              </c:numCache>
            </c:numRef>
          </c:cat>
          <c:val>
            <c:numRef>
              <c:f>('Report Tables'!$B$41,'Report Tables'!$D$41,'Report Tables'!$F$41)</c:f>
              <c:numCache>
                <c:formatCode>#,##0.0</c:formatCode>
                <c:ptCount val="3"/>
                <c:pt idx="0">
                  <c:v>11.653002870731333</c:v>
                </c:pt>
                <c:pt idx="1">
                  <c:v>8.1716442127287792</c:v>
                </c:pt>
                <c:pt idx="2" formatCode="0.0">
                  <c:v>7.0296104473722023</c:v>
                </c:pt>
              </c:numCache>
            </c:numRef>
          </c:val>
        </c:ser>
        <c:ser>
          <c:idx val="2"/>
          <c:order val="5"/>
          <c:tx>
            <c:strRef>
              <c:f>'Report Tables'!$A$12</c:f>
              <c:strCache>
                <c:ptCount val="1"/>
                <c:pt idx="0">
                  <c:v>Subsystem Integration &amp; Profit Margin</c:v>
                </c:pt>
              </c:strCache>
            </c:strRef>
          </c:tx>
          <c:invertIfNegative val="0"/>
          <c:cat>
            <c:numRef>
              <c:f>'Report Graphs'!$C$2:$E$2</c:f>
              <c:numCache>
                <c:formatCode>General</c:formatCode>
                <c:ptCount val="3"/>
                <c:pt idx="0">
                  <c:v>10</c:v>
                </c:pt>
                <c:pt idx="1">
                  <c:v>50</c:v>
                </c:pt>
                <c:pt idx="2">
                  <c:v>100</c:v>
                </c:pt>
              </c:numCache>
            </c:numRef>
          </c:cat>
          <c:val>
            <c:numRef>
              <c:f>('Report Tables'!$B$42,'Report Tables'!$D$42,'Report Tables'!$F$42)</c:f>
              <c:numCache>
                <c:formatCode>#,##0.0</c:formatCode>
                <c:ptCount val="3"/>
                <c:pt idx="0">
                  <c:v>7.621661136203211</c:v>
                </c:pt>
                <c:pt idx="1">
                  <c:v>6.536465414958907</c:v>
                </c:pt>
                <c:pt idx="2" formatCode="0.0">
                  <c:v>6.2592584165462011</c:v>
                </c:pt>
              </c:numCache>
            </c:numRef>
          </c:val>
        </c:ser>
        <c:ser>
          <c:idx val="6"/>
          <c:order val="6"/>
          <c:tx>
            <c:strRef>
              <c:f>'Report Tables'!$A$13</c:f>
              <c:strCache>
                <c:ptCount val="1"/>
                <c:pt idx="0">
                  <c:v>Installation</c:v>
                </c:pt>
              </c:strCache>
            </c:strRef>
          </c:tx>
          <c:invertIfNegative val="0"/>
          <c:cat>
            <c:numRef>
              <c:f>'Report Graphs'!$C$2:$E$2</c:f>
              <c:numCache>
                <c:formatCode>General</c:formatCode>
                <c:ptCount val="3"/>
                <c:pt idx="0">
                  <c:v>10</c:v>
                </c:pt>
                <c:pt idx="1">
                  <c:v>50</c:v>
                </c:pt>
                <c:pt idx="2">
                  <c:v>100</c:v>
                </c:pt>
              </c:numCache>
            </c:numRef>
          </c:cat>
          <c:val>
            <c:numRef>
              <c:f>('Report Tables'!$B$43,'Report Tables'!$D$43,'Report Tables'!$F$43)</c:f>
              <c:numCache>
                <c:formatCode>#,##0.0</c:formatCode>
                <c:ptCount val="3"/>
                <c:pt idx="0">
                  <c:v>10.855288281729731</c:v>
                </c:pt>
                <c:pt idx="1">
                  <c:v>5.1470678129388405</c:v>
                </c:pt>
                <c:pt idx="2" formatCode="0.0">
                  <c:v>4.5251925298076561</c:v>
                </c:pt>
              </c:numCache>
            </c:numRef>
          </c:val>
        </c:ser>
        <c:ser>
          <c:idx val="7"/>
          <c:order val="7"/>
          <c:tx>
            <c:strRef>
              <c:f>'Report Tables'!$A$14</c:f>
              <c:strCache>
                <c:ptCount val="1"/>
                <c:pt idx="0">
                  <c:v>Contingency</c:v>
                </c:pt>
              </c:strCache>
            </c:strRef>
          </c:tx>
          <c:invertIfNegative val="0"/>
          <c:cat>
            <c:numRef>
              <c:f>'Report Graphs'!$C$2:$E$2</c:f>
              <c:numCache>
                <c:formatCode>General</c:formatCode>
                <c:ptCount val="3"/>
                <c:pt idx="0">
                  <c:v>10</c:v>
                </c:pt>
                <c:pt idx="1">
                  <c:v>50</c:v>
                </c:pt>
                <c:pt idx="2">
                  <c:v>100</c:v>
                </c:pt>
              </c:numCache>
            </c:numRef>
          </c:cat>
          <c:val>
            <c:numRef>
              <c:f>('Report Tables'!$B$44,'Report Tables'!$D$44,'Report Tables'!$F$44)</c:f>
              <c:numCache>
                <c:formatCode>#,##0.0</c:formatCode>
                <c:ptCount val="3"/>
                <c:pt idx="0">
                  <c:v>14.044997448727113</c:v>
                </c:pt>
                <c:pt idx="1">
                  <c:v>9.7069702765286703</c:v>
                </c:pt>
                <c:pt idx="2" formatCode="0.0">
                  <c:v>8.9724248205127761</c:v>
                </c:pt>
              </c:numCache>
            </c:numRef>
          </c:val>
        </c:ser>
        <c:dLbls>
          <c:showLegendKey val="0"/>
          <c:showVal val="0"/>
          <c:showCatName val="0"/>
          <c:showSerName val="0"/>
          <c:showPercent val="0"/>
          <c:showBubbleSize val="0"/>
        </c:dLbls>
        <c:gapWidth val="150"/>
        <c:overlap val="100"/>
        <c:axId val="120599680"/>
        <c:axId val="120601600"/>
      </c:barChart>
      <c:catAx>
        <c:axId val="120599680"/>
        <c:scaling>
          <c:orientation val="minMax"/>
        </c:scaling>
        <c:delete val="0"/>
        <c:axPos val="b"/>
        <c:majorGridlines>
          <c:spPr>
            <a:ln>
              <a:solidFill>
                <a:schemeClr val="bg1">
                  <a:lumMod val="85000"/>
                </a:schemeClr>
              </a:solidFill>
            </a:ln>
          </c:spPr>
        </c:majorGridlines>
        <c:title>
          <c:tx>
            <c:rich>
              <a:bodyPr/>
              <a:lstStyle/>
              <a:p>
                <a:pPr>
                  <a:defRPr/>
                </a:pPr>
                <a:r>
                  <a:rPr lang="en-US" baseline="0"/>
                  <a:t># of Units</a:t>
                </a:r>
              </a:p>
            </c:rich>
          </c:tx>
          <c:overlay val="0"/>
        </c:title>
        <c:numFmt formatCode="0" sourceLinked="0"/>
        <c:majorTickMark val="out"/>
        <c:minorTickMark val="none"/>
        <c:tickLblPos val="nextTo"/>
        <c:crossAx val="120601600"/>
        <c:crosses val="autoZero"/>
        <c:auto val="1"/>
        <c:lblAlgn val="ctr"/>
        <c:lblOffset val="100"/>
        <c:noMultiLvlLbl val="0"/>
      </c:catAx>
      <c:valAx>
        <c:axId val="120601600"/>
        <c:scaling>
          <c:orientation val="minMax"/>
          <c:min val="0"/>
        </c:scaling>
        <c:delete val="0"/>
        <c:axPos val="l"/>
        <c:majorGridlines>
          <c:spPr>
            <a:ln>
              <a:solidFill>
                <a:schemeClr val="bg1">
                  <a:lumMod val="85000"/>
                </a:schemeClr>
              </a:solidFill>
            </a:ln>
          </c:spPr>
        </c:majorGridlines>
        <c:title>
          <c:tx>
            <c:rich>
              <a:bodyPr rot="-5400000" vert="horz"/>
              <a:lstStyle/>
              <a:p>
                <a:pPr>
                  <a:defRPr/>
                </a:pPr>
                <a:r>
                  <a:rPr lang="en-US"/>
                  <a:t>LCoE (cents/kWh)</a:t>
                </a:r>
              </a:p>
            </c:rich>
          </c:tx>
          <c:layout>
            <c:manualLayout>
              <c:xMode val="edge"/>
              <c:yMode val="edge"/>
              <c:x val="1.6838882510524299E-2"/>
              <c:y val="0.32321127075469985"/>
            </c:manualLayout>
          </c:layout>
          <c:overlay val="0"/>
        </c:title>
        <c:numFmt formatCode="#,##0.0" sourceLinked="1"/>
        <c:majorTickMark val="out"/>
        <c:minorTickMark val="none"/>
        <c:tickLblPos val="nextTo"/>
        <c:crossAx val="120599680"/>
        <c:crosses val="autoZero"/>
        <c:crossBetween val="between"/>
      </c:valAx>
    </c:plotArea>
    <c:legend>
      <c:legendPos val="r"/>
      <c:overlay val="0"/>
    </c:legend>
    <c:plotVisOnly val="1"/>
    <c:dispBlanksAs val="gap"/>
    <c:showDLblsOverMax val="0"/>
  </c:chart>
  <c:spPr>
    <a:solidFill>
      <a:sysClr val="window" lastClr="FFFFFF"/>
    </a:solidFill>
    <a:ln>
      <a:noFill/>
    </a:ln>
  </c:spPr>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'Report Tables'!$A$52</c:f>
              <c:strCache>
                <c:ptCount val="1"/>
                <c:pt idx="0">
                  <c:v>Insurance</c:v>
                </c:pt>
              </c:strCache>
            </c:strRef>
          </c:tx>
          <c:invertIfNegative val="0"/>
          <c:cat>
            <c:numRef>
              <c:f>'Report Graphs'!$B$2:$E$2</c:f>
              <c:numCache>
                <c:formatCode>General</c:formatCode>
                <c:ptCount val="4"/>
                <c:pt idx="0">
                  <c:v>1</c:v>
                </c:pt>
                <c:pt idx="1">
                  <c:v>10</c:v>
                </c:pt>
                <c:pt idx="2">
                  <c:v>50</c:v>
                </c:pt>
                <c:pt idx="3">
                  <c:v>100</c:v>
                </c:pt>
              </c:numCache>
            </c:numRef>
          </c:cat>
          <c:val>
            <c:numRef>
              <c:f>'Report Tables'!$B$52:$E$52</c:f>
              <c:numCache>
                <c:formatCode>"$"#,##0</c:formatCode>
                <c:ptCount val="4"/>
                <c:pt idx="0">
                  <c:v>362</c:v>
                </c:pt>
                <c:pt idx="1">
                  <c:v>1890</c:v>
                </c:pt>
                <c:pt idx="2">
                  <c:v>3747</c:v>
                </c:pt>
                <c:pt idx="3">
                  <c:v>3599</c:v>
                </c:pt>
              </c:numCache>
            </c:numRef>
          </c:val>
        </c:ser>
        <c:ser>
          <c:idx val="1"/>
          <c:order val="1"/>
          <c:tx>
            <c:strRef>
              <c:f>'Report Tables'!$A$53</c:f>
              <c:strCache>
                <c:ptCount val="1"/>
                <c:pt idx="0">
                  <c:v>Environmental Monitoring &amp; Regulatory Compliance</c:v>
                </c:pt>
              </c:strCache>
            </c:strRef>
          </c:tx>
          <c:invertIfNegative val="0"/>
          <c:cat>
            <c:numRef>
              <c:f>'Report Graphs'!$B$2:$E$2</c:f>
              <c:numCache>
                <c:formatCode>General</c:formatCode>
                <c:ptCount val="4"/>
                <c:pt idx="0">
                  <c:v>1</c:v>
                </c:pt>
                <c:pt idx="1">
                  <c:v>10</c:v>
                </c:pt>
                <c:pt idx="2">
                  <c:v>50</c:v>
                </c:pt>
                <c:pt idx="3">
                  <c:v>100</c:v>
                </c:pt>
              </c:numCache>
            </c:numRef>
          </c:cat>
          <c:val>
            <c:numRef>
              <c:f>'Report Tables'!$B$53:$E$53</c:f>
              <c:numCache>
                <c:formatCode>"$"#,##0</c:formatCode>
                <c:ptCount val="4"/>
                <c:pt idx="0">
                  <c:v>855</c:v>
                </c:pt>
                <c:pt idx="1">
                  <c:v>1266</c:v>
                </c:pt>
                <c:pt idx="2">
                  <c:v>1266</c:v>
                </c:pt>
                <c:pt idx="3">
                  <c:v>1266</c:v>
                </c:pt>
              </c:numCache>
            </c:numRef>
          </c:val>
        </c:ser>
        <c:ser>
          <c:idx val="3"/>
          <c:order val="2"/>
          <c:tx>
            <c:strRef>
              <c:f>'Report Tables'!$A$54</c:f>
              <c:strCache>
                <c:ptCount val="1"/>
                <c:pt idx="0">
                  <c:v>Marine Operations</c:v>
                </c:pt>
              </c:strCache>
            </c:strRef>
          </c:tx>
          <c:spPr>
            <a:solidFill>
              <a:srgbClr val="FFC000"/>
            </a:solidFill>
          </c:spPr>
          <c:invertIfNegative val="0"/>
          <c:cat>
            <c:numRef>
              <c:f>'Report Graphs'!$B$2:$E$2</c:f>
              <c:numCache>
                <c:formatCode>General</c:formatCode>
                <c:ptCount val="4"/>
                <c:pt idx="0">
                  <c:v>1</c:v>
                </c:pt>
                <c:pt idx="1">
                  <c:v>10</c:v>
                </c:pt>
                <c:pt idx="2">
                  <c:v>50</c:v>
                </c:pt>
                <c:pt idx="3">
                  <c:v>100</c:v>
                </c:pt>
              </c:numCache>
            </c:numRef>
          </c:cat>
          <c:val>
            <c:numRef>
              <c:f>'Report Tables'!$B$54:$E$54</c:f>
              <c:numCache>
                <c:formatCode>"$"#,##0</c:formatCode>
                <c:ptCount val="4"/>
                <c:pt idx="0">
                  <c:v>31</c:v>
                </c:pt>
                <c:pt idx="1">
                  <c:v>314</c:v>
                </c:pt>
                <c:pt idx="2">
                  <c:v>542</c:v>
                </c:pt>
                <c:pt idx="3">
                  <c:v>1084</c:v>
                </c:pt>
              </c:numCache>
            </c:numRef>
          </c:val>
        </c:ser>
        <c:ser>
          <c:idx val="4"/>
          <c:order val="3"/>
          <c:tx>
            <c:strRef>
              <c:f>'Report Tables'!$A$55</c:f>
              <c:strCache>
                <c:ptCount val="1"/>
                <c:pt idx="0">
                  <c:v>Shoreside Operations</c:v>
                </c:pt>
              </c:strCache>
            </c:strRef>
          </c:tx>
          <c:spPr>
            <a:solidFill>
              <a:srgbClr val="00B050"/>
            </a:solidFill>
          </c:spPr>
          <c:invertIfNegative val="0"/>
          <c:cat>
            <c:numRef>
              <c:f>'Report Graphs'!$B$2:$E$2</c:f>
              <c:numCache>
                <c:formatCode>General</c:formatCode>
                <c:ptCount val="4"/>
                <c:pt idx="0">
                  <c:v>1</c:v>
                </c:pt>
                <c:pt idx="1">
                  <c:v>10</c:v>
                </c:pt>
                <c:pt idx="2">
                  <c:v>50</c:v>
                </c:pt>
                <c:pt idx="3">
                  <c:v>100</c:v>
                </c:pt>
              </c:numCache>
            </c:numRef>
          </c:cat>
          <c:val>
            <c:numRef>
              <c:f>'Report Tables'!$B$55:$E$55</c:f>
              <c:numCache>
                <c:formatCode>"$"#,##0</c:formatCode>
                <c:ptCount val="4"/>
                <c:pt idx="0">
                  <c:v>262</c:v>
                </c:pt>
                <c:pt idx="1">
                  <c:v>400</c:v>
                </c:pt>
                <c:pt idx="2">
                  <c:v>455</c:v>
                </c:pt>
                <c:pt idx="3">
                  <c:v>675</c:v>
                </c:pt>
              </c:numCache>
            </c:numRef>
          </c:val>
        </c:ser>
        <c:ser>
          <c:idx val="5"/>
          <c:order val="4"/>
          <c:tx>
            <c:strRef>
              <c:f>'Report Tables'!$A$56</c:f>
              <c:strCache>
                <c:ptCount val="1"/>
                <c:pt idx="0">
                  <c:v>Replacement Parts</c:v>
                </c:pt>
              </c:strCache>
            </c:strRef>
          </c:tx>
          <c:invertIfNegative val="0"/>
          <c:cat>
            <c:numRef>
              <c:f>'Report Graphs'!$B$2:$E$2</c:f>
              <c:numCache>
                <c:formatCode>General</c:formatCode>
                <c:ptCount val="4"/>
                <c:pt idx="0">
                  <c:v>1</c:v>
                </c:pt>
                <c:pt idx="1">
                  <c:v>10</c:v>
                </c:pt>
                <c:pt idx="2">
                  <c:v>50</c:v>
                </c:pt>
                <c:pt idx="3">
                  <c:v>100</c:v>
                </c:pt>
              </c:numCache>
            </c:numRef>
          </c:cat>
          <c:val>
            <c:numRef>
              <c:f>'Report Tables'!$B$56:$E$56</c:f>
              <c:numCache>
                <c:formatCode>"$"#,##0</c:formatCode>
                <c:ptCount val="4"/>
                <c:pt idx="0">
                  <c:v>47</c:v>
                </c:pt>
                <c:pt idx="1">
                  <c:v>43</c:v>
                </c:pt>
                <c:pt idx="2">
                  <c:v>40</c:v>
                </c:pt>
                <c:pt idx="3">
                  <c:v>68</c:v>
                </c:pt>
              </c:numCache>
            </c:numRef>
          </c:val>
        </c:ser>
        <c:ser>
          <c:idx val="2"/>
          <c:order val="5"/>
          <c:tx>
            <c:strRef>
              <c:f>'Report Tables'!$A$57</c:f>
              <c:strCache>
                <c:ptCount val="1"/>
                <c:pt idx="0">
                  <c:v>Consumables</c:v>
                </c:pt>
              </c:strCache>
            </c:strRef>
          </c:tx>
          <c:invertIfNegative val="0"/>
          <c:cat>
            <c:numRef>
              <c:f>'Report Graphs'!$B$2:$E$2</c:f>
              <c:numCache>
                <c:formatCode>General</c:formatCode>
                <c:ptCount val="4"/>
                <c:pt idx="0">
                  <c:v>1</c:v>
                </c:pt>
                <c:pt idx="1">
                  <c:v>10</c:v>
                </c:pt>
                <c:pt idx="2">
                  <c:v>50</c:v>
                </c:pt>
                <c:pt idx="3">
                  <c:v>100</c:v>
                </c:pt>
              </c:numCache>
            </c:numRef>
          </c:cat>
          <c:val>
            <c:numRef>
              <c:f>'Report Tables'!$B$57:$E$57</c:f>
              <c:numCache>
                <c:formatCode>"$"#,##0</c:formatCode>
                <c:ptCount val="4"/>
                <c:pt idx="0">
                  <c:v>2</c:v>
                </c:pt>
                <c:pt idx="1">
                  <c:v>20</c:v>
                </c:pt>
                <c:pt idx="2">
                  <c:v>100</c:v>
                </c:pt>
                <c:pt idx="3">
                  <c:v>200</c:v>
                </c:pt>
              </c:numCache>
            </c:numRef>
          </c:val>
        </c:ser>
        <c:dLbls>
          <c:showLegendKey val="0"/>
          <c:showVal val="0"/>
          <c:showCatName val="0"/>
          <c:showSerName val="0"/>
          <c:showPercent val="0"/>
          <c:showBubbleSize val="0"/>
        </c:dLbls>
        <c:gapWidth val="150"/>
        <c:overlap val="100"/>
        <c:axId val="120622080"/>
        <c:axId val="120624256"/>
      </c:barChart>
      <c:catAx>
        <c:axId val="120622080"/>
        <c:scaling>
          <c:orientation val="minMax"/>
        </c:scaling>
        <c:delete val="0"/>
        <c:axPos val="b"/>
        <c:majorGridlines>
          <c:spPr>
            <a:ln>
              <a:solidFill>
                <a:schemeClr val="bg1">
                  <a:lumMod val="85000"/>
                </a:schemeClr>
              </a:solidFill>
            </a:ln>
          </c:spPr>
        </c:majorGridlines>
        <c:title>
          <c:tx>
            <c:rich>
              <a:bodyPr/>
              <a:lstStyle/>
              <a:p>
                <a:pPr>
                  <a:defRPr/>
                </a:pPr>
                <a:r>
                  <a:rPr lang="en-US" baseline="0"/>
                  <a:t># of Units</a:t>
                </a:r>
              </a:p>
            </c:rich>
          </c:tx>
          <c:overlay val="0"/>
        </c:title>
        <c:numFmt formatCode="0" sourceLinked="0"/>
        <c:majorTickMark val="out"/>
        <c:minorTickMark val="none"/>
        <c:tickLblPos val="nextTo"/>
        <c:crossAx val="120624256"/>
        <c:crosses val="autoZero"/>
        <c:auto val="1"/>
        <c:lblAlgn val="ctr"/>
        <c:lblOffset val="100"/>
        <c:noMultiLvlLbl val="0"/>
      </c:catAx>
      <c:valAx>
        <c:axId val="120624256"/>
        <c:scaling>
          <c:orientation val="minMax"/>
          <c:min val="0"/>
        </c:scaling>
        <c:delete val="0"/>
        <c:axPos val="l"/>
        <c:majorGridlines>
          <c:spPr>
            <a:ln>
              <a:solidFill>
                <a:schemeClr val="bg1">
                  <a:lumMod val="85000"/>
                </a:schemeClr>
              </a:solidFill>
            </a:ln>
          </c:spPr>
        </c:majorGridlines>
        <c:title>
          <c:tx>
            <c:strRef>
              <c:f>'Report Tables'!$A$49</c:f>
              <c:strCache>
                <c:ptCount val="1"/>
                <c:pt idx="0">
                  <c:v>Annual Cost in Thousands ($)</c:v>
                </c:pt>
              </c:strCache>
            </c:strRef>
          </c:tx>
          <c:overlay val="0"/>
          <c:txPr>
            <a:bodyPr rot="-5400000" vert="horz"/>
            <a:lstStyle/>
            <a:p>
              <a:pPr>
                <a:defRPr/>
              </a:pPr>
              <a:endParaRPr lang="en-US"/>
            </a:p>
          </c:txPr>
        </c:title>
        <c:numFmt formatCode="&quot;$&quot;#,##0" sourceLinked="1"/>
        <c:majorTickMark val="out"/>
        <c:minorTickMark val="none"/>
        <c:tickLblPos val="nextTo"/>
        <c:crossAx val="120622080"/>
        <c:crosses val="autoZero"/>
        <c:crossBetween val="between"/>
      </c:valAx>
    </c:plotArea>
    <c:legend>
      <c:legendPos val="r"/>
      <c:overlay val="0"/>
    </c:legend>
    <c:plotVisOnly val="1"/>
    <c:dispBlanksAs val="gap"/>
    <c:showDLblsOverMax val="0"/>
  </c:chart>
  <c:spPr>
    <a:solidFill>
      <a:sysClr val="window" lastClr="FFFFFF"/>
    </a:solidFill>
    <a:ln>
      <a:noFill/>
    </a:ln>
  </c:spPr>
  <c:printSettings>
    <c:headerFooter/>
    <c:pageMargins b="0.75000000000000133" l="0.70000000000000062" r="0.70000000000000062" t="0.750000000000001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'Report Tables'!$A$52</c:f>
              <c:strCache>
                <c:ptCount val="1"/>
                <c:pt idx="0">
                  <c:v>Insurance</c:v>
                </c:pt>
              </c:strCache>
            </c:strRef>
          </c:tx>
          <c:invertIfNegative val="0"/>
          <c:cat>
            <c:numRef>
              <c:f>'Report Graphs'!$B$2:$E$2</c:f>
              <c:numCache>
                <c:formatCode>General</c:formatCode>
                <c:ptCount val="4"/>
                <c:pt idx="0">
                  <c:v>1</c:v>
                </c:pt>
                <c:pt idx="1">
                  <c:v>10</c:v>
                </c:pt>
                <c:pt idx="2">
                  <c:v>50</c:v>
                </c:pt>
                <c:pt idx="3">
                  <c:v>100</c:v>
                </c:pt>
              </c:numCache>
            </c:numRef>
          </c:cat>
          <c:val>
            <c:numRef>
              <c:f>'Report Tables'!$B$65:$E$65</c:f>
              <c:numCache>
                <c:formatCode>"$"#,##0</c:formatCode>
                <c:ptCount val="4"/>
                <c:pt idx="0">
                  <c:v>970</c:v>
                </c:pt>
                <c:pt idx="1">
                  <c:v>510</c:v>
                </c:pt>
                <c:pt idx="2">
                  <c:v>200</c:v>
                </c:pt>
                <c:pt idx="3">
                  <c:v>100</c:v>
                </c:pt>
              </c:numCache>
            </c:numRef>
          </c:val>
        </c:ser>
        <c:ser>
          <c:idx val="1"/>
          <c:order val="1"/>
          <c:tx>
            <c:strRef>
              <c:f>'Report Tables'!$A$53</c:f>
              <c:strCache>
                <c:ptCount val="1"/>
                <c:pt idx="0">
                  <c:v>Environmental Monitoring &amp; Regulatory Compliance</c:v>
                </c:pt>
              </c:strCache>
            </c:strRef>
          </c:tx>
          <c:invertIfNegative val="0"/>
          <c:cat>
            <c:numRef>
              <c:f>'Report Graphs'!$B$2:$E$2</c:f>
              <c:numCache>
                <c:formatCode>General</c:formatCode>
                <c:ptCount val="4"/>
                <c:pt idx="0">
                  <c:v>1</c:v>
                </c:pt>
                <c:pt idx="1">
                  <c:v>10</c:v>
                </c:pt>
                <c:pt idx="2">
                  <c:v>50</c:v>
                </c:pt>
                <c:pt idx="3">
                  <c:v>100</c:v>
                </c:pt>
              </c:numCache>
            </c:numRef>
          </c:cat>
          <c:val>
            <c:numRef>
              <c:f>'Report Tables'!$B$66:$E$66</c:f>
              <c:numCache>
                <c:formatCode>"$"#,##0</c:formatCode>
                <c:ptCount val="4"/>
                <c:pt idx="0">
                  <c:v>2290</c:v>
                </c:pt>
                <c:pt idx="1">
                  <c:v>340</c:v>
                </c:pt>
                <c:pt idx="2">
                  <c:v>70</c:v>
                </c:pt>
                <c:pt idx="3">
                  <c:v>30</c:v>
                </c:pt>
              </c:numCache>
            </c:numRef>
          </c:val>
        </c:ser>
        <c:ser>
          <c:idx val="3"/>
          <c:order val="2"/>
          <c:tx>
            <c:strRef>
              <c:f>'Report Tables'!$A$54</c:f>
              <c:strCache>
                <c:ptCount val="1"/>
                <c:pt idx="0">
                  <c:v>Marine Operations</c:v>
                </c:pt>
              </c:strCache>
            </c:strRef>
          </c:tx>
          <c:spPr>
            <a:solidFill>
              <a:srgbClr val="FFC000"/>
            </a:solidFill>
          </c:spPr>
          <c:invertIfNegative val="0"/>
          <c:cat>
            <c:numRef>
              <c:f>'Report Graphs'!$B$2:$E$2</c:f>
              <c:numCache>
                <c:formatCode>General</c:formatCode>
                <c:ptCount val="4"/>
                <c:pt idx="0">
                  <c:v>1</c:v>
                </c:pt>
                <c:pt idx="1">
                  <c:v>10</c:v>
                </c:pt>
                <c:pt idx="2">
                  <c:v>50</c:v>
                </c:pt>
                <c:pt idx="3">
                  <c:v>100</c:v>
                </c:pt>
              </c:numCache>
            </c:numRef>
          </c:cat>
          <c:val>
            <c:numRef>
              <c:f>'Report Tables'!$B$67:$E$67</c:f>
              <c:numCache>
                <c:formatCode>"$"#,##0</c:formatCode>
                <c:ptCount val="4"/>
                <c:pt idx="0">
                  <c:v>80</c:v>
                </c:pt>
                <c:pt idx="1">
                  <c:v>80</c:v>
                </c:pt>
                <c:pt idx="2">
                  <c:v>30</c:v>
                </c:pt>
                <c:pt idx="3">
                  <c:v>30</c:v>
                </c:pt>
              </c:numCache>
            </c:numRef>
          </c:val>
        </c:ser>
        <c:ser>
          <c:idx val="4"/>
          <c:order val="3"/>
          <c:tx>
            <c:strRef>
              <c:f>'Report Tables'!$A$55</c:f>
              <c:strCache>
                <c:ptCount val="1"/>
                <c:pt idx="0">
                  <c:v>Shoreside Operations</c:v>
                </c:pt>
              </c:strCache>
            </c:strRef>
          </c:tx>
          <c:spPr>
            <a:solidFill>
              <a:srgbClr val="00B050"/>
            </a:solidFill>
          </c:spPr>
          <c:invertIfNegative val="0"/>
          <c:cat>
            <c:numRef>
              <c:f>'Report Graphs'!$B$2:$E$2</c:f>
              <c:numCache>
                <c:formatCode>General</c:formatCode>
                <c:ptCount val="4"/>
                <c:pt idx="0">
                  <c:v>1</c:v>
                </c:pt>
                <c:pt idx="1">
                  <c:v>10</c:v>
                </c:pt>
                <c:pt idx="2">
                  <c:v>50</c:v>
                </c:pt>
                <c:pt idx="3">
                  <c:v>100</c:v>
                </c:pt>
              </c:numCache>
            </c:numRef>
          </c:cat>
          <c:val>
            <c:numRef>
              <c:f>'Report Tables'!$B$68:$E$68</c:f>
              <c:numCache>
                <c:formatCode>"$"#,##0</c:formatCode>
                <c:ptCount val="4"/>
                <c:pt idx="0">
                  <c:v>700</c:v>
                </c:pt>
                <c:pt idx="1">
                  <c:v>110</c:v>
                </c:pt>
                <c:pt idx="2">
                  <c:v>20</c:v>
                </c:pt>
                <c:pt idx="3">
                  <c:v>20</c:v>
                </c:pt>
              </c:numCache>
            </c:numRef>
          </c:val>
        </c:ser>
        <c:ser>
          <c:idx val="5"/>
          <c:order val="4"/>
          <c:tx>
            <c:strRef>
              <c:f>'Report Tables'!$A$56</c:f>
              <c:strCache>
                <c:ptCount val="1"/>
                <c:pt idx="0">
                  <c:v>Replacement Parts</c:v>
                </c:pt>
              </c:strCache>
            </c:strRef>
          </c:tx>
          <c:invertIfNegative val="0"/>
          <c:cat>
            <c:numRef>
              <c:f>'Report Graphs'!$B$2:$E$2</c:f>
              <c:numCache>
                <c:formatCode>General</c:formatCode>
                <c:ptCount val="4"/>
                <c:pt idx="0">
                  <c:v>1</c:v>
                </c:pt>
                <c:pt idx="1">
                  <c:v>10</c:v>
                </c:pt>
                <c:pt idx="2">
                  <c:v>50</c:v>
                </c:pt>
                <c:pt idx="3">
                  <c:v>100</c:v>
                </c:pt>
              </c:numCache>
            </c:numRef>
          </c:cat>
          <c:val>
            <c:numRef>
              <c:f>'Report Tables'!$B$69:$E$69</c:f>
              <c:numCache>
                <c:formatCode>"$"#,##0</c:formatCode>
                <c:ptCount val="4"/>
                <c:pt idx="0">
                  <c:v>130</c:v>
                </c:pt>
                <c:pt idx="1">
                  <c:v>10</c:v>
                </c:pt>
                <c:pt idx="2">
                  <c:v>0</c:v>
                </c:pt>
                <c:pt idx="3">
                  <c:v>0</c:v>
                </c:pt>
              </c:numCache>
            </c:numRef>
          </c:val>
        </c:ser>
        <c:ser>
          <c:idx val="2"/>
          <c:order val="5"/>
          <c:tx>
            <c:strRef>
              <c:f>'Report Tables'!$A$57</c:f>
              <c:strCache>
                <c:ptCount val="1"/>
                <c:pt idx="0">
                  <c:v>Consumables</c:v>
                </c:pt>
              </c:strCache>
            </c:strRef>
          </c:tx>
          <c:invertIfNegative val="0"/>
          <c:cat>
            <c:numRef>
              <c:f>'Report Graphs'!$B$2:$E$2</c:f>
              <c:numCache>
                <c:formatCode>General</c:formatCode>
                <c:ptCount val="4"/>
                <c:pt idx="0">
                  <c:v>1</c:v>
                </c:pt>
                <c:pt idx="1">
                  <c:v>10</c:v>
                </c:pt>
                <c:pt idx="2">
                  <c:v>50</c:v>
                </c:pt>
                <c:pt idx="3">
                  <c:v>100</c:v>
                </c:pt>
              </c:numCache>
            </c:numRef>
          </c:cat>
          <c:val>
            <c:numRef>
              <c:f>'Report Tables'!$B$70:$E$70</c:f>
              <c:numCache>
                <c:formatCode>"$"#,##0</c:formatCode>
                <c:ptCount val="4"/>
                <c:pt idx="0">
                  <c:v>10</c:v>
                </c:pt>
                <c:pt idx="1">
                  <c:v>10</c:v>
                </c:pt>
                <c:pt idx="2">
                  <c:v>10</c:v>
                </c:pt>
                <c:pt idx="3">
                  <c:v>10</c:v>
                </c:pt>
              </c:numCache>
            </c:numRef>
          </c:val>
        </c:ser>
        <c:dLbls>
          <c:showLegendKey val="0"/>
          <c:showVal val="0"/>
          <c:showCatName val="0"/>
          <c:showSerName val="0"/>
          <c:showPercent val="0"/>
          <c:showBubbleSize val="0"/>
        </c:dLbls>
        <c:gapWidth val="150"/>
        <c:overlap val="100"/>
        <c:axId val="120648448"/>
        <c:axId val="120650368"/>
      </c:barChart>
      <c:catAx>
        <c:axId val="120648448"/>
        <c:scaling>
          <c:orientation val="minMax"/>
        </c:scaling>
        <c:delete val="0"/>
        <c:axPos val="b"/>
        <c:majorGridlines>
          <c:spPr>
            <a:ln>
              <a:solidFill>
                <a:schemeClr val="bg1">
                  <a:lumMod val="85000"/>
                </a:schemeClr>
              </a:solidFill>
            </a:ln>
          </c:spPr>
        </c:majorGridlines>
        <c:title>
          <c:tx>
            <c:rich>
              <a:bodyPr/>
              <a:lstStyle/>
              <a:p>
                <a:pPr>
                  <a:defRPr/>
                </a:pPr>
                <a:r>
                  <a:rPr lang="en-US" baseline="0"/>
                  <a:t># of Units</a:t>
                </a:r>
              </a:p>
            </c:rich>
          </c:tx>
          <c:overlay val="0"/>
        </c:title>
        <c:numFmt formatCode="0" sourceLinked="0"/>
        <c:majorTickMark val="out"/>
        <c:minorTickMark val="none"/>
        <c:tickLblPos val="nextTo"/>
        <c:crossAx val="120650368"/>
        <c:crosses val="autoZero"/>
        <c:auto val="1"/>
        <c:lblAlgn val="ctr"/>
        <c:lblOffset val="100"/>
        <c:noMultiLvlLbl val="0"/>
      </c:catAx>
      <c:valAx>
        <c:axId val="120650368"/>
        <c:scaling>
          <c:orientation val="minMax"/>
          <c:min val="0"/>
        </c:scaling>
        <c:delete val="0"/>
        <c:axPos val="l"/>
        <c:majorGridlines>
          <c:spPr>
            <a:ln>
              <a:solidFill>
                <a:schemeClr val="bg1">
                  <a:lumMod val="85000"/>
                </a:schemeClr>
              </a:solidFill>
            </a:ln>
          </c:spPr>
        </c:majorGridlines>
        <c:title>
          <c:tx>
            <c:rich>
              <a:bodyPr rot="-5400000" vert="horz"/>
              <a:lstStyle/>
              <a:p>
                <a:pPr>
                  <a:defRPr/>
                </a:pPr>
                <a:r>
                  <a:rPr lang="en-US"/>
                  <a:t>Opex ($ / kW-yr)</a:t>
                </a:r>
              </a:p>
            </c:rich>
          </c:tx>
          <c:layout>
            <c:manualLayout>
              <c:xMode val="edge"/>
              <c:yMode val="edge"/>
              <c:x val="9.1848450057405318E-3"/>
              <c:y val="0.31372635021380968"/>
            </c:manualLayout>
          </c:layout>
          <c:overlay val="0"/>
        </c:title>
        <c:numFmt formatCode="&quot;$&quot;#,##0" sourceLinked="1"/>
        <c:majorTickMark val="out"/>
        <c:minorTickMark val="none"/>
        <c:tickLblPos val="nextTo"/>
        <c:crossAx val="120648448"/>
        <c:crosses val="autoZero"/>
        <c:crossBetween val="between"/>
      </c:valAx>
    </c:plotArea>
    <c:legend>
      <c:legendPos val="r"/>
      <c:overlay val="0"/>
    </c:legend>
    <c:plotVisOnly val="1"/>
    <c:dispBlanksAs val="gap"/>
    <c:showDLblsOverMax val="0"/>
  </c:chart>
  <c:spPr>
    <a:solidFill>
      <a:sysClr val="window" lastClr="FFFFFF"/>
    </a:solidFill>
    <a:ln>
      <a:noFill/>
    </a:ln>
  </c:spPr>
  <c:printSettings>
    <c:headerFooter/>
    <c:pageMargins b="0.75000000000000133" l="0.70000000000000062" r="0.70000000000000062" t="0.750000000000001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'Report Tables'!$A$52</c:f>
              <c:strCache>
                <c:ptCount val="1"/>
                <c:pt idx="0">
                  <c:v>Insurance</c:v>
                </c:pt>
              </c:strCache>
            </c:strRef>
          </c:tx>
          <c:invertIfNegative val="0"/>
          <c:cat>
            <c:numRef>
              <c:f>'Report Graphs'!$C$2:$E$2</c:f>
              <c:numCache>
                <c:formatCode>General</c:formatCode>
                <c:ptCount val="3"/>
                <c:pt idx="0">
                  <c:v>10</c:v>
                </c:pt>
                <c:pt idx="1">
                  <c:v>50</c:v>
                </c:pt>
                <c:pt idx="2">
                  <c:v>100</c:v>
                </c:pt>
              </c:numCache>
            </c:numRef>
          </c:cat>
          <c:val>
            <c:numRef>
              <c:f>('Report Tables'!$B$79,'Report Tables'!$D$79,'Report Tables'!$F$79)</c:f>
              <c:numCache>
                <c:formatCode>0.0</c:formatCode>
                <c:ptCount val="3"/>
                <c:pt idx="0">
                  <c:v>20.909892292925068</c:v>
                </c:pt>
                <c:pt idx="1">
                  <c:v>8.2889793495888568</c:v>
                </c:pt>
                <c:pt idx="2">
                  <c:v>3.9811196589165263</c:v>
                </c:pt>
              </c:numCache>
            </c:numRef>
          </c:val>
        </c:ser>
        <c:ser>
          <c:idx val="1"/>
          <c:order val="1"/>
          <c:tx>
            <c:strRef>
              <c:f>'Report Tables'!$A$53</c:f>
              <c:strCache>
                <c:ptCount val="1"/>
                <c:pt idx="0">
                  <c:v>Environmental Monitoring &amp; Regulatory Compliance</c:v>
                </c:pt>
              </c:strCache>
            </c:strRef>
          </c:tx>
          <c:invertIfNegative val="0"/>
          <c:cat>
            <c:numRef>
              <c:f>'Report Graphs'!$C$2:$E$2</c:f>
              <c:numCache>
                <c:formatCode>General</c:formatCode>
                <c:ptCount val="3"/>
                <c:pt idx="0">
                  <c:v>10</c:v>
                </c:pt>
                <c:pt idx="1">
                  <c:v>50</c:v>
                </c:pt>
                <c:pt idx="2">
                  <c:v>100</c:v>
                </c:pt>
              </c:numCache>
            </c:numRef>
          </c:cat>
          <c:val>
            <c:numRef>
              <c:f>('Report Tables'!$B$80,'Report Tables'!$D$80,'Report Tables'!$F$80)</c:f>
              <c:numCache>
                <c:formatCode>0.0</c:formatCode>
                <c:ptCount val="3"/>
                <c:pt idx="0">
                  <c:v>14.003929064457893</c:v>
                </c:pt>
                <c:pt idx="1">
                  <c:v>2.8007858128915784</c:v>
                </c:pt>
                <c:pt idx="2">
                  <c:v>1.4003929064457892</c:v>
                </c:pt>
              </c:numCache>
            </c:numRef>
          </c:val>
        </c:ser>
        <c:ser>
          <c:idx val="3"/>
          <c:order val="2"/>
          <c:tx>
            <c:strRef>
              <c:f>'Report Tables'!$A$54</c:f>
              <c:strCache>
                <c:ptCount val="1"/>
                <c:pt idx="0">
                  <c:v>Marine Operations</c:v>
                </c:pt>
              </c:strCache>
            </c:strRef>
          </c:tx>
          <c:spPr>
            <a:solidFill>
              <a:srgbClr val="FFC000"/>
            </a:solidFill>
          </c:spPr>
          <c:invertIfNegative val="0"/>
          <c:cat>
            <c:numRef>
              <c:f>'Report Graphs'!$C$2:$E$2</c:f>
              <c:numCache>
                <c:formatCode>General</c:formatCode>
                <c:ptCount val="3"/>
                <c:pt idx="0">
                  <c:v>10</c:v>
                </c:pt>
                <c:pt idx="1">
                  <c:v>50</c:v>
                </c:pt>
                <c:pt idx="2">
                  <c:v>100</c:v>
                </c:pt>
              </c:numCache>
            </c:numRef>
          </c:cat>
          <c:val>
            <c:numRef>
              <c:f>('Report Tables'!$B$81,'Report Tables'!$D$81,'Report Tables'!$F$81)</c:f>
              <c:numCache>
                <c:formatCode>0.0</c:formatCode>
                <c:ptCount val="3"/>
                <c:pt idx="0">
                  <c:v>3.4685350371078307</c:v>
                </c:pt>
                <c:pt idx="1">
                  <c:v>1.1989988554977404</c:v>
                </c:pt>
                <c:pt idx="2">
                  <c:v>1.1989988554977404</c:v>
                </c:pt>
              </c:numCache>
            </c:numRef>
          </c:val>
        </c:ser>
        <c:ser>
          <c:idx val="4"/>
          <c:order val="3"/>
          <c:tx>
            <c:strRef>
              <c:f>'Report Tables'!$A$55</c:f>
              <c:strCache>
                <c:ptCount val="1"/>
                <c:pt idx="0">
                  <c:v>Shoreside Operations</c:v>
                </c:pt>
              </c:strCache>
            </c:strRef>
          </c:tx>
          <c:spPr>
            <a:solidFill>
              <a:srgbClr val="00B050"/>
            </a:solidFill>
          </c:spPr>
          <c:invertIfNegative val="0"/>
          <c:cat>
            <c:numRef>
              <c:f>'Report Graphs'!$C$2:$E$2</c:f>
              <c:numCache>
                <c:formatCode>General</c:formatCode>
                <c:ptCount val="3"/>
                <c:pt idx="0">
                  <c:v>10</c:v>
                </c:pt>
                <c:pt idx="1">
                  <c:v>50</c:v>
                </c:pt>
                <c:pt idx="2">
                  <c:v>100</c:v>
                </c:pt>
              </c:numCache>
            </c:numRef>
          </c:cat>
          <c:val>
            <c:numRef>
              <c:f>('Report Tables'!$B$82,'Report Tables'!$D$82,'Report Tables'!$F$82)</c:f>
              <c:numCache>
                <c:formatCode>0.0</c:formatCode>
                <c:ptCount val="3"/>
                <c:pt idx="0">
                  <c:v>4.4239141977275134</c:v>
                </c:pt>
                <c:pt idx="1">
                  <c:v>1.0059201444196666</c:v>
                </c:pt>
                <c:pt idx="2">
                  <c:v>0.74625013273866403</c:v>
                </c:pt>
              </c:numCache>
            </c:numRef>
          </c:val>
        </c:ser>
        <c:ser>
          <c:idx val="5"/>
          <c:order val="4"/>
          <c:tx>
            <c:strRef>
              <c:f>'Report Tables'!$A$56</c:f>
              <c:strCache>
                <c:ptCount val="1"/>
                <c:pt idx="0">
                  <c:v>Replacement Parts</c:v>
                </c:pt>
              </c:strCache>
            </c:strRef>
          </c:tx>
          <c:invertIfNegative val="0"/>
          <c:cat>
            <c:numRef>
              <c:f>'Report Graphs'!$C$2:$E$2</c:f>
              <c:numCache>
                <c:formatCode>General</c:formatCode>
                <c:ptCount val="3"/>
                <c:pt idx="0">
                  <c:v>10</c:v>
                </c:pt>
                <c:pt idx="1">
                  <c:v>50</c:v>
                </c:pt>
                <c:pt idx="2">
                  <c:v>100</c:v>
                </c:pt>
              </c:numCache>
            </c:numRef>
          </c:cat>
          <c:val>
            <c:numRef>
              <c:f>('Report Tables'!$B$83,'Report Tables'!$D$83,'Report Tables'!$F$83)</c:f>
              <c:numCache>
                <c:formatCode>0.0</c:formatCode>
                <c:ptCount val="3"/>
                <c:pt idx="0">
                  <c:v>0.47227368149743515</c:v>
                </c:pt>
                <c:pt idx="1">
                  <c:v>8.8638543210314807E-2</c:v>
                </c:pt>
                <c:pt idx="2">
                  <c:v>7.5557746746126961E-2</c:v>
                </c:pt>
              </c:numCache>
            </c:numRef>
          </c:val>
        </c:ser>
        <c:ser>
          <c:idx val="2"/>
          <c:order val="5"/>
          <c:tx>
            <c:strRef>
              <c:f>'Report Tables'!$A$57</c:f>
              <c:strCache>
                <c:ptCount val="1"/>
                <c:pt idx="0">
                  <c:v>Consumables</c:v>
                </c:pt>
              </c:strCache>
            </c:strRef>
          </c:tx>
          <c:invertIfNegative val="0"/>
          <c:cat>
            <c:numRef>
              <c:f>'Report Graphs'!$C$2:$E$2</c:f>
              <c:numCache>
                <c:formatCode>General</c:formatCode>
                <c:ptCount val="3"/>
                <c:pt idx="0">
                  <c:v>10</c:v>
                </c:pt>
                <c:pt idx="1">
                  <c:v>50</c:v>
                </c:pt>
                <c:pt idx="2">
                  <c:v>100</c:v>
                </c:pt>
              </c:numCache>
            </c:numRef>
          </c:cat>
          <c:val>
            <c:numRef>
              <c:f>('Report Tables'!$B$84,'Report Tables'!$D$84,'Report Tables'!$F$84)</c:f>
              <c:numCache>
                <c:formatCode>0.0</c:formatCode>
                <c:ptCount val="3"/>
                <c:pt idx="0">
                  <c:v>0.2212311068634738</c:v>
                </c:pt>
                <c:pt idx="1">
                  <c:v>0.22123110686347386</c:v>
                </c:pt>
                <c:pt idx="2">
                  <c:v>0.22123110686347386</c:v>
                </c:pt>
              </c:numCache>
            </c:numRef>
          </c:val>
        </c:ser>
        <c:dLbls>
          <c:showLegendKey val="0"/>
          <c:showVal val="0"/>
          <c:showCatName val="0"/>
          <c:showSerName val="0"/>
          <c:showPercent val="0"/>
          <c:showBubbleSize val="0"/>
        </c:dLbls>
        <c:gapWidth val="150"/>
        <c:overlap val="100"/>
        <c:axId val="120830592"/>
        <c:axId val="123601664"/>
      </c:barChart>
      <c:catAx>
        <c:axId val="120830592"/>
        <c:scaling>
          <c:orientation val="minMax"/>
        </c:scaling>
        <c:delete val="0"/>
        <c:axPos val="b"/>
        <c:majorGridlines>
          <c:spPr>
            <a:ln>
              <a:solidFill>
                <a:schemeClr val="bg1">
                  <a:lumMod val="85000"/>
                </a:schemeClr>
              </a:solidFill>
            </a:ln>
          </c:spPr>
        </c:majorGridlines>
        <c:title>
          <c:tx>
            <c:rich>
              <a:bodyPr/>
              <a:lstStyle/>
              <a:p>
                <a:pPr>
                  <a:defRPr/>
                </a:pPr>
                <a:r>
                  <a:rPr lang="en-US" baseline="0"/>
                  <a:t># of Units)</a:t>
                </a:r>
              </a:p>
            </c:rich>
          </c:tx>
          <c:overlay val="0"/>
        </c:title>
        <c:numFmt formatCode="0" sourceLinked="0"/>
        <c:majorTickMark val="out"/>
        <c:minorTickMark val="none"/>
        <c:tickLblPos val="nextTo"/>
        <c:crossAx val="123601664"/>
        <c:crosses val="autoZero"/>
        <c:auto val="1"/>
        <c:lblAlgn val="ctr"/>
        <c:lblOffset val="100"/>
        <c:noMultiLvlLbl val="0"/>
      </c:catAx>
      <c:valAx>
        <c:axId val="123601664"/>
        <c:scaling>
          <c:orientation val="minMax"/>
          <c:min val="0"/>
        </c:scaling>
        <c:delete val="0"/>
        <c:axPos val="l"/>
        <c:majorGridlines>
          <c:spPr>
            <a:ln>
              <a:solidFill>
                <a:schemeClr val="bg1">
                  <a:lumMod val="85000"/>
                </a:schemeClr>
              </a:solidFill>
            </a:ln>
          </c:spPr>
        </c:majorGridlines>
        <c:title>
          <c:tx>
            <c:rich>
              <a:bodyPr rot="-5400000" vert="horz"/>
              <a:lstStyle/>
              <a:p>
                <a:pPr>
                  <a:defRPr/>
                </a:pPr>
                <a:r>
                  <a:rPr lang="en-US"/>
                  <a:t>LCoE (cents/kWh)</a:t>
                </a:r>
              </a:p>
            </c:rich>
          </c:tx>
          <c:layout>
            <c:manualLayout>
              <c:xMode val="edge"/>
              <c:yMode val="edge"/>
              <c:x val="9.1848450057405318E-3"/>
              <c:y val="0.31372635021380968"/>
            </c:manualLayout>
          </c:layout>
          <c:overlay val="0"/>
        </c:title>
        <c:numFmt formatCode="0.0" sourceLinked="1"/>
        <c:majorTickMark val="out"/>
        <c:minorTickMark val="none"/>
        <c:tickLblPos val="nextTo"/>
        <c:crossAx val="120830592"/>
        <c:crosses val="autoZero"/>
        <c:crossBetween val="between"/>
      </c:valAx>
    </c:plotArea>
    <c:legend>
      <c:legendPos val="r"/>
      <c:overlay val="0"/>
    </c:legend>
    <c:plotVisOnly val="1"/>
    <c:dispBlanksAs val="gap"/>
    <c:showDLblsOverMax val="0"/>
  </c:chart>
  <c:spPr>
    <a:solidFill>
      <a:sysClr val="window" lastClr="FFFFFF"/>
    </a:solidFill>
    <a:ln>
      <a:noFill/>
    </a:ln>
  </c:spPr>
  <c:printSettings>
    <c:headerFooter/>
    <c:pageMargins b="0.75000000000000133" l="0.70000000000000062" r="0.70000000000000062" t="0.750000000000001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marker>
            <c:symbol val="none"/>
          </c:marker>
          <c:xVal>
            <c:numRef>
              <c:f>'Report Graphs'!$A$159:$A$163</c:f>
              <c:numCache>
                <c:formatCode>0.00</c:formatCode>
                <c:ptCount val="5"/>
                <c:pt idx="0">
                  <c:v>1.1999999999999997</c:v>
                </c:pt>
                <c:pt idx="1">
                  <c:v>1.3999999999999992</c:v>
                </c:pt>
                <c:pt idx="2">
                  <c:v>1.599999999999999</c:v>
                </c:pt>
                <c:pt idx="3">
                  <c:v>1.8</c:v>
                </c:pt>
                <c:pt idx="4">
                  <c:v>2</c:v>
                </c:pt>
              </c:numCache>
            </c:numRef>
          </c:xVal>
          <c:yVal>
            <c:numRef>
              <c:f>'Report Graphs'!$D$159:$D$163</c:f>
              <c:numCache>
                <c:formatCode>0.00</c:formatCode>
                <c:ptCount val="5"/>
              </c:numCache>
            </c:numRef>
          </c:yVal>
          <c:smooth val="1"/>
        </c:ser>
        <c:ser>
          <c:idx val="1"/>
          <c:order val="1"/>
          <c:xVal>
            <c:numRef>
              <c:f>'Report Graphs'!$A$164</c:f>
              <c:numCache>
                <c:formatCode>0.00</c:formatCode>
                <c:ptCount val="1"/>
              </c:numCache>
            </c:numRef>
          </c:xVal>
          <c:yVal>
            <c:numRef>
              <c:f>'Report Graphs'!$D$164</c:f>
              <c:numCache>
                <c:formatCode>0.00</c:formatCode>
                <c:ptCount val="1"/>
              </c:numCache>
            </c:numRef>
          </c:yVal>
          <c:smooth val="1"/>
        </c:ser>
        <c:dLbls>
          <c:showLegendKey val="0"/>
          <c:showVal val="0"/>
          <c:showCatName val="0"/>
          <c:showSerName val="0"/>
          <c:showPercent val="0"/>
          <c:showBubbleSize val="0"/>
        </c:dLbls>
        <c:axId val="123627392"/>
        <c:axId val="123637760"/>
      </c:scatterChart>
      <c:valAx>
        <c:axId val="123627392"/>
        <c:scaling>
          <c:orientation val="minMax"/>
          <c:min val="1"/>
        </c:scaling>
        <c:delete val="0"/>
        <c:axPos val="b"/>
        <c:majorGridlines>
          <c:spPr>
            <a:ln>
              <a:solidFill>
                <a:schemeClr val="bg1">
                  <a:lumMod val="85000"/>
                </a:schemeClr>
              </a:solidFill>
            </a:ln>
          </c:spPr>
        </c:majorGridlines>
        <c:title>
          <c:tx>
            <c:rich>
              <a:bodyPr/>
              <a:lstStyle/>
              <a:p>
                <a:pPr>
                  <a:defRPr/>
                </a:pPr>
                <a:r>
                  <a:rPr lang="en-US"/>
                  <a:t>Mean Velocity (m/s)</a:t>
                </a:r>
              </a:p>
            </c:rich>
          </c:tx>
          <c:overlay val="0"/>
        </c:title>
        <c:numFmt formatCode="0.00" sourceLinked="1"/>
        <c:majorTickMark val="out"/>
        <c:minorTickMark val="none"/>
        <c:tickLblPos val="nextTo"/>
        <c:crossAx val="123637760"/>
        <c:crosses val="autoZero"/>
        <c:crossBetween val="midCat"/>
      </c:valAx>
      <c:valAx>
        <c:axId val="123637760"/>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CoE (cents/kWh)</a:t>
                </a:r>
              </a:p>
            </c:rich>
          </c:tx>
          <c:overlay val="0"/>
        </c:title>
        <c:numFmt formatCode="0.00" sourceLinked="1"/>
        <c:majorTickMark val="out"/>
        <c:minorTickMark val="none"/>
        <c:tickLblPos val="nextTo"/>
        <c:crossAx val="123627392"/>
        <c:crosses val="autoZero"/>
        <c:crossBetween val="midCat"/>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xVal>
            <c:numRef>
              <c:f>'Report Graphs'!$C$159:$C$163</c:f>
              <c:numCache>
                <c:formatCode>0.00</c:formatCode>
                <c:ptCount val="5"/>
              </c:numCache>
            </c:numRef>
          </c:xVal>
          <c:yVal>
            <c:numRef>
              <c:f>'Report Graphs'!$D$159:$D$163</c:f>
              <c:numCache>
                <c:formatCode>0.00</c:formatCode>
                <c:ptCount val="5"/>
              </c:numCache>
            </c:numRef>
          </c:yVal>
          <c:smooth val="0"/>
        </c:ser>
        <c:ser>
          <c:idx val="1"/>
          <c:order val="1"/>
          <c:xVal>
            <c:numRef>
              <c:f>'Report Graphs'!$C$164</c:f>
              <c:numCache>
                <c:formatCode>0.00</c:formatCode>
                <c:ptCount val="1"/>
              </c:numCache>
            </c:numRef>
          </c:xVal>
          <c:yVal>
            <c:numRef>
              <c:f>'Report Graphs'!$D$164</c:f>
              <c:numCache>
                <c:formatCode>0.00</c:formatCode>
                <c:ptCount val="1"/>
              </c:numCache>
            </c:numRef>
          </c:yVal>
          <c:smooth val="0"/>
        </c:ser>
        <c:dLbls>
          <c:showLegendKey val="0"/>
          <c:showVal val="0"/>
          <c:showCatName val="0"/>
          <c:showSerName val="0"/>
          <c:showPercent val="0"/>
          <c:showBubbleSize val="0"/>
        </c:dLbls>
        <c:axId val="123654528"/>
        <c:axId val="123656448"/>
      </c:scatterChart>
      <c:valAx>
        <c:axId val="123654528"/>
        <c:scaling>
          <c:orientation val="minMax"/>
        </c:scaling>
        <c:delete val="0"/>
        <c:axPos val="b"/>
        <c:majorGridlines>
          <c:spPr>
            <a:ln>
              <a:solidFill>
                <a:schemeClr val="bg1">
                  <a:lumMod val="85000"/>
                </a:schemeClr>
              </a:solidFill>
            </a:ln>
          </c:spPr>
        </c:majorGridlines>
        <c:title>
          <c:tx>
            <c:rich>
              <a:bodyPr/>
              <a:lstStyle/>
              <a:p>
                <a:pPr>
                  <a:defRPr/>
                </a:pPr>
                <a:r>
                  <a:rPr lang="en-US"/>
                  <a:t>Mean Power</a:t>
                </a:r>
                <a:r>
                  <a:rPr lang="en-US" baseline="0"/>
                  <a:t> Flux</a:t>
                </a:r>
                <a:r>
                  <a:rPr lang="en-US"/>
                  <a:t> (kW/m</a:t>
                </a:r>
                <a:r>
                  <a:rPr lang="en-US" baseline="30000"/>
                  <a:t>2</a:t>
                </a:r>
                <a:r>
                  <a:rPr lang="en-US"/>
                  <a:t>)</a:t>
                </a:r>
              </a:p>
            </c:rich>
          </c:tx>
          <c:overlay val="0"/>
        </c:title>
        <c:numFmt formatCode="0.00" sourceLinked="1"/>
        <c:majorTickMark val="out"/>
        <c:minorTickMark val="none"/>
        <c:tickLblPos val="nextTo"/>
        <c:crossAx val="123656448"/>
        <c:crosses val="autoZero"/>
        <c:crossBetween val="midCat"/>
      </c:valAx>
      <c:valAx>
        <c:axId val="123656448"/>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CoE (cents/kWh)</a:t>
                </a:r>
              </a:p>
            </c:rich>
          </c:tx>
          <c:overlay val="0"/>
        </c:title>
        <c:numFmt formatCode="0.00" sourceLinked="1"/>
        <c:majorTickMark val="out"/>
        <c:minorTickMark val="none"/>
        <c:tickLblPos val="nextTo"/>
        <c:crossAx val="123654528"/>
        <c:crosses val="autoZero"/>
        <c:crossBetween val="midCat"/>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a:solidFill>
                <a:schemeClr val="accent1"/>
              </a:solidFill>
            </a:ln>
          </c:spPr>
          <c:marker>
            <c:symbol val="none"/>
          </c:marker>
          <c:xVal>
            <c:numRef>
              <c:f>'Report Graphs'!$B$159:$B$163</c:f>
              <c:numCache>
                <c:formatCode>0.00</c:formatCode>
                <c:ptCount val="5"/>
                <c:pt idx="0">
                  <c:v>2.2597810166080361</c:v>
                </c:pt>
                <c:pt idx="1">
                  <c:v>2.6364111860427073</c:v>
                </c:pt>
                <c:pt idx="2">
                  <c:v>3.0130413554773803</c:v>
                </c:pt>
                <c:pt idx="3">
                  <c:v>3.3896715249120541</c:v>
                </c:pt>
                <c:pt idx="4">
                  <c:v>3.7663016943467267</c:v>
                </c:pt>
              </c:numCache>
            </c:numRef>
          </c:xVal>
          <c:yVal>
            <c:numRef>
              <c:f>'Report Graphs'!$D$159:$D$163</c:f>
              <c:numCache>
                <c:formatCode>0.00</c:formatCode>
                <c:ptCount val="5"/>
              </c:numCache>
            </c:numRef>
          </c:yVal>
          <c:smooth val="1"/>
        </c:ser>
        <c:ser>
          <c:idx val="1"/>
          <c:order val="1"/>
          <c:xVal>
            <c:numRef>
              <c:f>'Report Graphs'!$B$164</c:f>
              <c:numCache>
                <c:formatCode>0.00</c:formatCode>
                <c:ptCount val="1"/>
              </c:numCache>
            </c:numRef>
          </c:xVal>
          <c:yVal>
            <c:numRef>
              <c:f>'Report Graphs'!$D$164</c:f>
              <c:numCache>
                <c:formatCode>0.00</c:formatCode>
                <c:ptCount val="1"/>
              </c:numCache>
            </c:numRef>
          </c:yVal>
          <c:smooth val="1"/>
        </c:ser>
        <c:dLbls>
          <c:showLegendKey val="0"/>
          <c:showVal val="0"/>
          <c:showCatName val="0"/>
          <c:showSerName val="0"/>
          <c:showPercent val="0"/>
          <c:showBubbleSize val="0"/>
        </c:dLbls>
        <c:axId val="123935360"/>
        <c:axId val="123945728"/>
      </c:scatterChart>
      <c:valAx>
        <c:axId val="123935360"/>
        <c:scaling>
          <c:orientation val="minMax"/>
          <c:min val="1"/>
        </c:scaling>
        <c:delete val="0"/>
        <c:axPos val="b"/>
        <c:majorGridlines>
          <c:spPr>
            <a:ln>
              <a:solidFill>
                <a:schemeClr val="bg1">
                  <a:lumMod val="85000"/>
                </a:schemeClr>
              </a:solidFill>
            </a:ln>
          </c:spPr>
        </c:majorGridlines>
        <c:title>
          <c:tx>
            <c:rich>
              <a:bodyPr/>
              <a:lstStyle/>
              <a:p>
                <a:pPr>
                  <a:defRPr/>
                </a:pPr>
                <a:r>
                  <a:rPr lang="en-US"/>
                  <a:t>Peak Velocity (m/s)</a:t>
                </a:r>
              </a:p>
            </c:rich>
          </c:tx>
          <c:overlay val="0"/>
        </c:title>
        <c:numFmt formatCode="0.00" sourceLinked="1"/>
        <c:majorTickMark val="out"/>
        <c:minorTickMark val="none"/>
        <c:tickLblPos val="nextTo"/>
        <c:crossAx val="123945728"/>
        <c:crosses val="autoZero"/>
        <c:crossBetween val="midCat"/>
      </c:valAx>
      <c:valAx>
        <c:axId val="123945728"/>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CoE (cents/kWh)</a:t>
                </a:r>
              </a:p>
            </c:rich>
          </c:tx>
          <c:overlay val="0"/>
        </c:title>
        <c:numFmt formatCode="0.00" sourceLinked="1"/>
        <c:majorTickMark val="out"/>
        <c:minorTickMark val="none"/>
        <c:tickLblPos val="nextTo"/>
        <c:crossAx val="123935360"/>
        <c:crosses val="autoZero"/>
        <c:crossBetween val="midCat"/>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 Id="rId9"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7.xml.rels><?xml version="1.0" encoding="UTF-8" standalone="yes"?>
<Relationships xmlns="http://schemas.openxmlformats.org/package/2006/relationships"><Relationship Id="rId1" Type="http://schemas.openxmlformats.org/officeDocument/2006/relationships/image" Target="../media/image6.wmf"/></Relationships>
</file>

<file path=xl/drawings/_rels/drawing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47625</xdr:colOff>
      <xdr:row>5</xdr:row>
      <xdr:rowOff>152401</xdr:rowOff>
    </xdr:from>
    <xdr:to>
      <xdr:col>10</xdr:col>
      <xdr:colOff>361950</xdr:colOff>
      <xdr:row>25</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57150</xdr:rowOff>
    </xdr:from>
    <xdr:to>
      <xdr:col>10</xdr:col>
      <xdr:colOff>476250</xdr:colOff>
      <xdr:row>46</xdr:row>
      <xdr:rowOff>176743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38100</xdr:rowOff>
    </xdr:from>
    <xdr:to>
      <xdr:col>10</xdr:col>
      <xdr:colOff>533400</xdr:colOff>
      <xdr:row>67</xdr:row>
      <xdr:rowOff>157693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69</xdr:row>
      <xdr:rowOff>85725</xdr:rowOff>
    </xdr:from>
    <xdr:to>
      <xdr:col>11</xdr:col>
      <xdr:colOff>295275</xdr:colOff>
      <xdr:row>89</xdr:row>
      <xdr:rowOff>14818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89</xdr:row>
      <xdr:rowOff>57150</xdr:rowOff>
    </xdr:from>
    <xdr:to>
      <xdr:col>10</xdr:col>
      <xdr:colOff>476250</xdr:colOff>
      <xdr:row>108</xdr:row>
      <xdr:rowOff>176743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109</xdr:row>
      <xdr:rowOff>133350</xdr:rowOff>
    </xdr:from>
    <xdr:to>
      <xdr:col>11</xdr:col>
      <xdr:colOff>295275</xdr:colOff>
      <xdr:row>129</xdr:row>
      <xdr:rowOff>62443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142876</xdr:colOff>
      <xdr:row>165</xdr:row>
      <xdr:rowOff>66675</xdr:rowOff>
    </xdr:from>
    <xdr:to>
      <xdr:col>5</xdr:col>
      <xdr:colOff>152401</xdr:colOff>
      <xdr:row>179</xdr:row>
      <xdr:rowOff>142875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171450</xdr:colOff>
      <xdr:row>180</xdr:row>
      <xdr:rowOff>9525</xdr:rowOff>
    </xdr:from>
    <xdr:to>
      <xdr:col>5</xdr:col>
      <xdr:colOff>2801</xdr:colOff>
      <xdr:row>194</xdr:row>
      <xdr:rowOff>85725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195</xdr:row>
      <xdr:rowOff>76200</xdr:rowOff>
    </xdr:from>
    <xdr:to>
      <xdr:col>5</xdr:col>
      <xdr:colOff>352425</xdr:colOff>
      <xdr:row>211</xdr:row>
      <xdr:rowOff>85725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absoluteAnchor>
    <xdr:pos x="0" y="42786301"/>
    <xdr:ext cx="6867525" cy="3790950"/>
    <xdr:graphicFrame macro="">
      <xdr:nvGraphicFramePr>
        <xdr:cNvPr id="12" name="Chart 1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absoluteAnchor>
  <xdr:twoCellAnchor>
    <xdr:from>
      <xdr:col>0</xdr:col>
      <xdr:colOff>0</xdr:colOff>
      <xdr:row>131</xdr:row>
      <xdr:rowOff>47625</xdr:rowOff>
    </xdr:from>
    <xdr:to>
      <xdr:col>11</xdr:col>
      <xdr:colOff>66675</xdr:colOff>
      <xdr:row>150</xdr:row>
      <xdr:rowOff>167218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8</xdr:row>
      <xdr:rowOff>14287</xdr:rowOff>
    </xdr:from>
    <xdr:to>
      <xdr:col>6</xdr:col>
      <xdr:colOff>323850</xdr:colOff>
      <xdr:row>22</xdr:row>
      <xdr:rowOff>90487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429684</xdr:colOff>
      <xdr:row>275</xdr:row>
      <xdr:rowOff>11110</xdr:rowOff>
    </xdr:from>
    <xdr:to>
      <xdr:col>15</xdr:col>
      <xdr:colOff>467784</xdr:colOff>
      <xdr:row>298</xdr:row>
      <xdr:rowOff>111123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61382</xdr:colOff>
      <xdr:row>35</xdr:row>
      <xdr:rowOff>184678</xdr:rowOff>
    </xdr:from>
    <xdr:to>
      <xdr:col>6</xdr:col>
      <xdr:colOff>394757</xdr:colOff>
      <xdr:row>56</xdr:row>
      <xdr:rowOff>170391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65</xdr:row>
      <xdr:rowOff>14287</xdr:rowOff>
    </xdr:from>
    <xdr:to>
      <xdr:col>6</xdr:col>
      <xdr:colOff>352425</xdr:colOff>
      <xdr:row>79</xdr:row>
      <xdr:rowOff>90487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104775</xdr:colOff>
      <xdr:row>121</xdr:row>
      <xdr:rowOff>23812</xdr:rowOff>
    </xdr:from>
    <xdr:to>
      <xdr:col>6</xdr:col>
      <xdr:colOff>549529</xdr:colOff>
      <xdr:row>141</xdr:row>
      <xdr:rowOff>100012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264582</xdr:colOff>
      <xdr:row>151</xdr:row>
      <xdr:rowOff>168273</xdr:rowOff>
    </xdr:from>
    <xdr:to>
      <xdr:col>6</xdr:col>
      <xdr:colOff>413003</xdr:colOff>
      <xdr:row>171</xdr:row>
      <xdr:rowOff>125601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42333</xdr:colOff>
      <xdr:row>182</xdr:row>
      <xdr:rowOff>30690</xdr:rowOff>
    </xdr:from>
    <xdr:to>
      <xdr:col>6</xdr:col>
      <xdr:colOff>486833</xdr:colOff>
      <xdr:row>203</xdr:row>
      <xdr:rowOff>21165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42332</xdr:colOff>
      <xdr:row>218</xdr:row>
      <xdr:rowOff>30688</xdr:rowOff>
    </xdr:from>
    <xdr:to>
      <xdr:col>7</xdr:col>
      <xdr:colOff>603250</xdr:colOff>
      <xdr:row>243</xdr:row>
      <xdr:rowOff>52915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10583</xdr:colOff>
      <xdr:row>253</xdr:row>
      <xdr:rowOff>189440</xdr:rowOff>
    </xdr:from>
    <xdr:to>
      <xdr:col>6</xdr:col>
      <xdr:colOff>455337</xdr:colOff>
      <xdr:row>273</xdr:row>
      <xdr:rowOff>146768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108857</xdr:colOff>
      <xdr:row>35</xdr:row>
      <xdr:rowOff>29935</xdr:rowOff>
    </xdr:from>
    <xdr:to>
      <xdr:col>23</xdr:col>
      <xdr:colOff>1074964</xdr:colOff>
      <xdr:row>56</xdr:row>
      <xdr:rowOff>176893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25</xdr:row>
      <xdr:rowOff>0</xdr:rowOff>
    </xdr:from>
    <xdr:to>
      <xdr:col>9</xdr:col>
      <xdr:colOff>495300</xdr:colOff>
      <xdr:row>25</xdr:row>
      <xdr:rowOff>0</xdr:rowOff>
    </xdr:to>
    <xdr:sp macro="" textlink="">
      <xdr:nvSpPr>
        <xdr:cNvPr id="29697" name="CommandButton1" hidden="1">
          <a:extLst>
            <a:ext uri="{63B3BB69-23CF-44E3-9099-C40C66FF867C}">
              <a14:compatExt xmlns:a14="http://schemas.microsoft.com/office/drawing/2010/main" spid="_x0000_s29697"/>
            </a:ext>
          </a:extLst>
        </xdr:cNvPr>
        <xdr:cNvSpPr/>
      </xdr:nvSpPr>
      <xdr:spPr>
        <a:xfrm>
          <a:off x="0" y="0"/>
          <a:ext cx="0" cy="0"/>
        </a:xfrm>
        <a:prstGeom prst="rect">
          <a:avLst/>
        </a:prstGeom>
      </xdr:spPr>
    </xdr:sp>
    <xdr:clientData fLocksWithSheet="0"/>
  </xdr:twoCellAnchor>
  <xdr:twoCellAnchor>
    <xdr:from>
      <xdr:col>1</xdr:col>
      <xdr:colOff>38100</xdr:colOff>
      <xdr:row>25</xdr:row>
      <xdr:rowOff>0</xdr:rowOff>
    </xdr:from>
    <xdr:to>
      <xdr:col>9</xdr:col>
      <xdr:colOff>495300</xdr:colOff>
      <xdr:row>25</xdr:row>
      <xdr:rowOff>0</xdr:rowOff>
    </xdr:to>
    <xdr:pic>
      <xdr:nvPicPr>
        <xdr:cNvPr id="2" name="CommandButton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3136900"/>
          <a:ext cx="6134100" cy="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9</xdr:col>
      <xdr:colOff>585107</xdr:colOff>
      <xdr:row>0</xdr:row>
      <xdr:rowOff>149679</xdr:rowOff>
    </xdr:from>
    <xdr:to>
      <xdr:col>19</xdr:col>
      <xdr:colOff>446767</xdr:colOff>
      <xdr:row>12</xdr:row>
      <xdr:rowOff>126184</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34032" y="149679"/>
          <a:ext cx="5767160" cy="2262505"/>
        </a:xfrm>
        <a:prstGeom prst="rect">
          <a:avLst/>
        </a:prstGeom>
        <a:noFill/>
      </xdr:spPr>
    </xdr:pic>
    <xdr:clientData/>
  </xdr:twoCellAnchor>
  <xdr:twoCellAnchor editAs="oneCell">
    <xdr:from>
      <xdr:col>9</xdr:col>
      <xdr:colOff>527955</xdr:colOff>
      <xdr:row>13</xdr:row>
      <xdr:rowOff>0</xdr:rowOff>
    </xdr:from>
    <xdr:to>
      <xdr:col>23</xdr:col>
      <xdr:colOff>23130</xdr:colOff>
      <xdr:row>35</xdr:row>
      <xdr:rowOff>13674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76880" y="2476500"/>
          <a:ext cx="7762875" cy="4204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449035</xdr:colOff>
      <xdr:row>18</xdr:row>
      <xdr:rowOff>68036</xdr:rowOff>
    </xdr:from>
    <xdr:to>
      <xdr:col>25</xdr:col>
      <xdr:colOff>163005</xdr:colOff>
      <xdr:row>33</xdr:row>
      <xdr:rowOff>163286</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12928" y="3769179"/>
          <a:ext cx="9075684" cy="2952750"/>
        </a:xfrm>
        <a:prstGeom prst="rect">
          <a:avLst/>
        </a:prstGeom>
      </xdr:spPr>
    </xdr:pic>
    <xdr:clientData/>
  </xdr:twoCellAnchor>
  <xdr:twoCellAnchor editAs="oneCell">
    <xdr:from>
      <xdr:col>9</xdr:col>
      <xdr:colOff>517071</xdr:colOff>
      <xdr:row>3</xdr:row>
      <xdr:rowOff>81642</xdr:rowOff>
    </xdr:from>
    <xdr:to>
      <xdr:col>21</xdr:col>
      <xdr:colOff>16488</xdr:colOff>
      <xdr:row>16</xdr:row>
      <xdr:rowOff>136070</xdr:rowOff>
    </xdr:to>
    <xdr:pic>
      <xdr:nvPicPr>
        <xdr:cNvPr id="5" name="Picture 4"/>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0964" y="653142"/>
          <a:ext cx="6520703" cy="28030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199571</xdr:colOff>
      <xdr:row>5</xdr:row>
      <xdr:rowOff>72571</xdr:rowOff>
    </xdr:from>
    <xdr:to>
      <xdr:col>30</xdr:col>
      <xdr:colOff>113392</xdr:colOff>
      <xdr:row>33</xdr:row>
      <xdr:rowOff>143287</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42" t="10025" r="33691" b="11778"/>
        <a:stretch>
          <a:fillRect/>
        </a:stretch>
      </xdr:blipFill>
      <xdr:spPr bwMode="auto">
        <a:xfrm>
          <a:off x="20374428" y="979714"/>
          <a:ext cx="6626678" cy="515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1131094</xdr:colOff>
      <xdr:row>37</xdr:row>
      <xdr:rowOff>47627</xdr:rowOff>
    </xdr:from>
    <xdr:to>
      <xdr:col>12</xdr:col>
      <xdr:colOff>460909</xdr:colOff>
      <xdr:row>52</xdr:row>
      <xdr:rowOff>71439</xdr:rowOff>
    </xdr:to>
    <xdr:pic>
      <xdr:nvPicPr>
        <xdr:cNvPr id="1025" name="Picture 1"/>
        <xdr:cNvPicPr>
          <a:picLocks noChangeAspect="1" noChangeArrowheads="1"/>
        </xdr:cNvPicPr>
      </xdr:nvPicPr>
      <xdr:blipFill>
        <a:blip xmlns:r="http://schemas.openxmlformats.org/officeDocument/2006/relationships" r:embed="rId1"/>
        <a:srcRect l="24695" t="25104" r="61288" b="33595"/>
        <a:stretch>
          <a:fillRect/>
        </a:stretch>
      </xdr:blipFill>
      <xdr:spPr bwMode="auto">
        <a:xfrm>
          <a:off x="9608344" y="7096127"/>
          <a:ext cx="2913596" cy="2881312"/>
        </a:xfrm>
        <a:prstGeom prst="rect">
          <a:avLst/>
        </a:prstGeom>
        <a:noFill/>
        <a:ln w="1">
          <a:noFill/>
          <a:miter lim="800000"/>
          <a:headEnd/>
          <a:tailEnd type="none" w="med" len="med"/>
        </a:ln>
        <a:effectLst/>
      </xdr:spPr>
    </xdr:pic>
    <xdr:clientData/>
  </xdr:twoCellAnchor>
  <xdr:twoCellAnchor>
    <xdr:from>
      <xdr:col>15</xdr:col>
      <xdr:colOff>166688</xdr:colOff>
      <xdr:row>12</xdr:row>
      <xdr:rowOff>134540</xdr:rowOff>
    </xdr:from>
    <xdr:to>
      <xdr:col>22</xdr:col>
      <xdr:colOff>416719</xdr:colOff>
      <xdr:row>27</xdr:row>
      <xdr:rowOff>20240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Tidal%20Energy%20Reference%20Model%201/Tidal%20Performanc%20&amp;%20Economic%20Model/3-31-2011%20Final%20Results/Previous%20Work/MCT%20Model%20Short%20MP%2004-29-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Projects/SnoPUD/Resource%20Measurements/AI_AH_ADCP_new/AI_AH_1_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rko/AppData/Local/Microsoft/Windows/Temporary%20Internet%20Files/Content.Outlook/HQ0EO667/OCT%20Cost%20JE%206-10-2012v3%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Reporting"/>
      <sheetName val="Energy Model"/>
      <sheetName val="COE Model"/>
      <sheetName val="Cost Functions"/>
    </sheetNames>
    <sheetDataSet>
      <sheetData sheetId="0" refreshError="1">
        <row r="4">
          <cell r="K4">
            <v>55</v>
          </cell>
        </row>
        <row r="6">
          <cell r="K6">
            <v>0.95</v>
          </cell>
        </row>
        <row r="9">
          <cell r="K9">
            <v>9000</v>
          </cell>
        </row>
        <row r="10">
          <cell r="E10">
            <v>17</v>
          </cell>
        </row>
        <row r="11">
          <cell r="E11">
            <v>0.45</v>
          </cell>
          <cell r="K11">
            <v>22750</v>
          </cell>
        </row>
        <row r="12">
          <cell r="E12">
            <v>0.7</v>
          </cell>
        </row>
        <row r="13">
          <cell r="K13">
            <v>0</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AI_AH_ADCP_1_2007"/>
    </sheetNames>
    <sheetDataSet>
      <sheetData sheetId="0">
        <row r="2">
          <cell r="B2">
            <v>1024</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Graphs"/>
      <sheetName val="CAPEX_S-Curve"/>
      <sheetName val="Report"/>
      <sheetName val="DB"/>
      <sheetName val="Inupt Screen Database"/>
      <sheetName val="Tables"/>
      <sheetName val="CAPEX_MonteCarlo_simulation"/>
      <sheetName val="Econ IO"/>
      <sheetName val="Sensitivity"/>
      <sheetName val="Energy IO"/>
      <sheetName val="Energy Model"/>
      <sheetName val="Non-Utility Model"/>
      <sheetName val="Non-Utility Model no taxes"/>
      <sheetName val="Utility Model"/>
      <sheetName val="Sheet1"/>
    </sheetNames>
    <sheetDataSet>
      <sheetData sheetId="0" refreshError="1">
        <row r="10">
          <cell r="E10">
            <v>1</v>
          </cell>
        </row>
        <row r="11">
          <cell r="E11">
            <v>350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2" Type="http://schemas.openxmlformats.org/officeDocument/2006/relationships/hyperlink" Target="http://www.sealtd.co.uk/files/34seaclam.pdf" TargetMode="External"/><Relationship Id="rId1" Type="http://schemas.openxmlformats.org/officeDocument/2006/relationships/hyperlink" Target="http://www.mech.ed.ac.uk/research/wavepower/turbine/design%20&amp;%20construction%20of%20vpt.htm"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0"/>
  <sheetViews>
    <sheetView topLeftCell="A10" zoomScale="80" zoomScaleNormal="80" zoomScalePageLayoutView="80" workbookViewId="0">
      <selection activeCell="F45" sqref="F45"/>
    </sheetView>
  </sheetViews>
  <sheetFormatPr defaultColWidth="8.88671875" defaultRowHeight="14.4" x14ac:dyDescent="0.3"/>
  <cols>
    <col min="1" max="1" width="35.6640625" customWidth="1"/>
    <col min="2" max="2" width="30.88671875" customWidth="1"/>
    <col min="3" max="3" width="21.33203125" customWidth="1"/>
    <col min="4" max="5" width="14.6640625" customWidth="1"/>
    <col min="6" max="7" width="12.6640625" customWidth="1"/>
    <col min="8" max="8" width="35.6640625" customWidth="1"/>
    <col min="9" max="14" width="12.6640625" customWidth="1"/>
  </cols>
  <sheetData>
    <row r="2" spans="1:14" ht="15" x14ac:dyDescent="0.25">
      <c r="A2" s="226" t="s">
        <v>191</v>
      </c>
      <c r="B2">
        <v>0</v>
      </c>
      <c r="C2" t="s">
        <v>192</v>
      </c>
      <c r="D2" s="221"/>
      <c r="E2" s="221"/>
    </row>
    <row r="3" spans="1:14" ht="15" x14ac:dyDescent="0.25">
      <c r="A3" s="221" t="s">
        <v>190</v>
      </c>
      <c r="B3" s="221">
        <v>1000</v>
      </c>
      <c r="C3" s="221"/>
      <c r="D3" s="219"/>
      <c r="E3" s="213"/>
    </row>
    <row r="4" spans="1:14" ht="15" x14ac:dyDescent="0.25">
      <c r="A4" s="211" t="str">
        <f>IF(B3=1,"Total Cost ($)",IF(B3=1000,"Total Cost in Thousands ($)",IF(B3=1000000,"Total Cost in Millions ($)","CostBasisnotspecified")))</f>
        <v>Total Cost in Thousands ($)</v>
      </c>
      <c r="B4" s="213"/>
      <c r="C4" s="213"/>
      <c r="D4" s="213"/>
      <c r="E4" s="213"/>
    </row>
    <row r="5" spans="1:14" x14ac:dyDescent="0.3">
      <c r="A5" s="971"/>
      <c r="B5" s="288" t="s">
        <v>98</v>
      </c>
      <c r="C5" s="289" t="s">
        <v>88</v>
      </c>
      <c r="D5" s="290" t="s">
        <v>89</v>
      </c>
      <c r="E5" s="288" t="s">
        <v>90</v>
      </c>
    </row>
    <row r="6" spans="1:14" x14ac:dyDescent="0.3">
      <c r="A6" s="972"/>
      <c r="B6" s="288" t="s">
        <v>80</v>
      </c>
      <c r="C6" s="288" t="s">
        <v>80</v>
      </c>
      <c r="D6" s="288" t="s">
        <v>80</v>
      </c>
      <c r="E6" s="288" t="s">
        <v>80</v>
      </c>
    </row>
    <row r="7" spans="1:14" ht="15" x14ac:dyDescent="0.25">
      <c r="A7" s="222" t="s">
        <v>100</v>
      </c>
      <c r="B7" s="223">
        <f>ROUND('CBS (Total)'!J4/B3,-B2)</f>
        <v>5205</v>
      </c>
      <c r="C7" s="223">
        <f>ROUND('CBS (Total)'!L4/B3,-B2)</f>
        <v>22990</v>
      </c>
      <c r="D7" s="223">
        <f>ROUND('CBS (Total)'!N4/B3,-B2)</f>
        <v>31387</v>
      </c>
      <c r="E7" s="223">
        <f>ROUND('CBS (Total)'!P4/B3,-B2)</f>
        <v>30857</v>
      </c>
    </row>
    <row r="8" spans="1:14" ht="15" x14ac:dyDescent="0.25">
      <c r="A8" s="222" t="s">
        <v>10</v>
      </c>
      <c r="B8" s="223">
        <f>ROUND('CBS (Total)'!J12/B3,-B2)</f>
        <v>1111</v>
      </c>
      <c r="C8" s="223">
        <f>ROUND('CBS (Total)'!L12/B3,-B2)</f>
        <v>7850</v>
      </c>
      <c r="D8" s="223">
        <f>ROUND('CBS (Total)'!N12/B3,-B2)</f>
        <v>16188</v>
      </c>
      <c r="E8" s="223">
        <f>ROUND('CBS (Total)'!P12/B3,-B2)</f>
        <v>35610</v>
      </c>
    </row>
    <row r="9" spans="1:14" ht="15" x14ac:dyDescent="0.25">
      <c r="A9" s="222" t="s">
        <v>18</v>
      </c>
      <c r="B9" s="223">
        <f>ROUND('CBS (Total)'!J18/B3,-B2)</f>
        <v>835</v>
      </c>
      <c r="C9" s="223">
        <f>ROUND('CBS (Total)'!L18/B3,-B2)</f>
        <v>7442</v>
      </c>
      <c r="D9" s="223">
        <f>ROUND('CBS (Total)'!N18/B3,-B2)</f>
        <v>36179</v>
      </c>
      <c r="E9" s="223">
        <f>ROUND('CBS (Total)'!P18/B3,-B2)</f>
        <v>70300</v>
      </c>
    </row>
    <row r="10" spans="1:14" ht="15" x14ac:dyDescent="0.25">
      <c r="A10" s="222" t="s">
        <v>27</v>
      </c>
      <c r="B10" s="223">
        <f>ROUND('CBS (Total)'!J24/B3,-B2)</f>
        <v>7682</v>
      </c>
      <c r="C10" s="223">
        <f>ROUND('CBS (Total)'!L24/B3,-B2)</f>
        <v>54017</v>
      </c>
      <c r="D10" s="223">
        <f>ROUND('CBS (Total)'!N24/B3,-B2)</f>
        <v>239250</v>
      </c>
      <c r="E10" s="223">
        <f>ROUND('CBS (Total)'!P24/B3,-B2)</f>
        <v>464862</v>
      </c>
    </row>
    <row r="11" spans="1:14" ht="15" x14ac:dyDescent="0.25">
      <c r="A11" s="222" t="s">
        <v>495</v>
      </c>
      <c r="B11" s="223">
        <f>ROUND('CBS (Total)'!J29/B3,-B2)</f>
        <v>1637</v>
      </c>
      <c r="C11" s="223">
        <f>ROUND('CBS (Total)'!L29/B3,-B2)</f>
        <v>9749</v>
      </c>
      <c r="D11" s="223">
        <f>ROUND('CBS (Total)'!N29/B3,-B2)</f>
        <v>34184</v>
      </c>
      <c r="E11" s="223">
        <f>ROUND('CBS (Total)'!P29/B3,-B2)</f>
        <v>58813</v>
      </c>
    </row>
    <row r="12" spans="1:14" s="220" customFormat="1" ht="15" x14ac:dyDescent="0.25">
      <c r="A12" s="222" t="s">
        <v>72</v>
      </c>
      <c r="B12" s="223">
        <f>ROUND('CBS (Total)'!J39/B3,-B2)</f>
        <v>932</v>
      </c>
      <c r="C12" s="223">
        <f>ROUND('CBS (Total)'!L39/B3,-B2)</f>
        <v>6377</v>
      </c>
      <c r="D12" s="223">
        <f>ROUND('CBS (Total)'!N39/B3,-B2)</f>
        <v>27343</v>
      </c>
      <c r="E12" s="223">
        <f>ROUND('CBS (Total)'!P39/B3,-B2)</f>
        <v>52367</v>
      </c>
    </row>
    <row r="13" spans="1:14" ht="15" x14ac:dyDescent="0.25">
      <c r="A13" s="222" t="s">
        <v>47</v>
      </c>
      <c r="B13" s="223">
        <f>ROUND('CBS (Total)'!J40/B3,-B2)</f>
        <v>5909</v>
      </c>
      <c r="C13" s="223">
        <f>ROUND('CBS (Total)'!L40/B3,-B2)</f>
        <v>9082</v>
      </c>
      <c r="D13" s="223">
        <f>ROUND('CBS (Total)'!N40/B3,-B2)</f>
        <v>21531</v>
      </c>
      <c r="E13" s="223">
        <f>ROUND('CBS (Total)'!P40/B3,-B2)</f>
        <v>37860</v>
      </c>
    </row>
    <row r="14" spans="1:14" ht="15" x14ac:dyDescent="0.25">
      <c r="A14" s="222" t="s">
        <v>143</v>
      </c>
      <c r="B14" s="223">
        <f>ROUND('CBS (Total)'!J48/B3,-B2)</f>
        <v>2331</v>
      </c>
      <c r="C14" s="223">
        <f>ROUND('CBS (Total)'!L48/B3,-B2)</f>
        <v>11751</v>
      </c>
      <c r="D14" s="223">
        <f>ROUND('CBS (Total)'!N48/B3,-B2)</f>
        <v>40606</v>
      </c>
      <c r="E14" s="223">
        <f>ROUND('CBS (Total)'!P48/B3,-B2)</f>
        <v>75067</v>
      </c>
    </row>
    <row r="15" spans="1:14" ht="15" x14ac:dyDescent="0.25">
      <c r="A15" s="222" t="s">
        <v>81</v>
      </c>
      <c r="B15" s="223">
        <f>SUM(B7:B14)</f>
        <v>25642</v>
      </c>
      <c r="C15" s="223">
        <f>SUM(C7:C14)</f>
        <v>129258</v>
      </c>
      <c r="D15" s="223">
        <f>SUM(D7:D14)</f>
        <v>446668</v>
      </c>
      <c r="E15" s="223">
        <f>SUM(E7:E14)</f>
        <v>825736</v>
      </c>
    </row>
    <row r="16" spans="1:14" s="224" customFormat="1" ht="15" x14ac:dyDescent="0.25">
      <c r="A16" s="212"/>
      <c r="B16" s="215"/>
      <c r="C16" s="215"/>
      <c r="D16" s="215"/>
      <c r="E16" s="215"/>
      <c r="J16" s="239"/>
      <c r="L16" s="239"/>
      <c r="N16" s="239"/>
    </row>
    <row r="17" spans="1:14" s="224" customFormat="1" ht="15" x14ac:dyDescent="0.25">
      <c r="A17" s="224" t="s">
        <v>191</v>
      </c>
      <c r="B17">
        <v>1</v>
      </c>
      <c r="C17" s="224" t="s">
        <v>192</v>
      </c>
      <c r="D17" s="215"/>
      <c r="E17" s="215"/>
      <c r="N17" s="239"/>
    </row>
    <row r="19" spans="1:14" s="224" customFormat="1" ht="15" x14ac:dyDescent="0.25">
      <c r="A19" s="248" t="s">
        <v>0</v>
      </c>
    </row>
    <row r="20" spans="1:14" ht="15" x14ac:dyDescent="0.25">
      <c r="A20" s="216"/>
      <c r="B20" s="288" t="s">
        <v>98</v>
      </c>
      <c r="C20" s="289" t="s">
        <v>88</v>
      </c>
      <c r="D20" s="290" t="s">
        <v>89</v>
      </c>
      <c r="E20" s="288" t="s">
        <v>90</v>
      </c>
    </row>
    <row r="21" spans="1:14" ht="15" x14ac:dyDescent="0.25">
      <c r="A21" s="214"/>
      <c r="B21" s="288" t="s">
        <v>193</v>
      </c>
      <c r="C21" s="288" t="s">
        <v>193</v>
      </c>
      <c r="D21" s="288" t="s">
        <v>193</v>
      </c>
      <c r="E21" s="288" t="s">
        <v>193</v>
      </c>
    </row>
    <row r="22" spans="1:14" ht="15" x14ac:dyDescent="0.25">
      <c r="A22" s="222" t="s">
        <v>100</v>
      </c>
      <c r="B22" s="225">
        <f>ROUND('CBS ($ per kW)'!J6,-B17)</f>
        <v>13950</v>
      </c>
      <c r="C22" s="225">
        <f>ROUND('CBS ($ per kW)'!L6,-B17)</f>
        <v>6160</v>
      </c>
      <c r="D22" s="225">
        <f>ROUND('CBS ($ per kW)'!N6,-B17)</f>
        <v>1680</v>
      </c>
      <c r="E22" s="225">
        <f>ROUND('CBS ($ per kW)'!P6,-B17)</f>
        <v>830</v>
      </c>
    </row>
    <row r="23" spans="1:14" ht="15" x14ac:dyDescent="0.25">
      <c r="A23" s="222" t="s">
        <v>10</v>
      </c>
      <c r="B23" s="225">
        <f>ROUND('CBS ($ per kW)'!J14,-B17)</f>
        <v>2980</v>
      </c>
      <c r="C23" s="225">
        <f>ROUND('CBS ($ per kW)'!L14,-B17)</f>
        <v>2100</v>
      </c>
      <c r="D23" s="225">
        <f>ROUND('CBS ($ per kW)'!N14,-B17)</f>
        <v>870</v>
      </c>
      <c r="E23" s="225">
        <f>ROUND('CBS ($ per kW)'!P14,-B17)</f>
        <v>950</v>
      </c>
    </row>
    <row r="24" spans="1:14" ht="15" x14ac:dyDescent="0.25">
      <c r="A24" s="222" t="s">
        <v>18</v>
      </c>
      <c r="B24" s="225">
        <f>ROUND('CBS ($ per kW)'!J20,-B17)</f>
        <v>2240</v>
      </c>
      <c r="C24" s="225">
        <f>ROUND('CBS ($ per kW)'!L20,-B17)</f>
        <v>2000</v>
      </c>
      <c r="D24" s="225">
        <f>ROUND('CBS ($ per kW)'!N20,-B17)</f>
        <v>1940</v>
      </c>
      <c r="E24" s="225">
        <f>ROUND('CBS ($ per kW)'!P20,-B17)</f>
        <v>1880</v>
      </c>
    </row>
    <row r="25" spans="1:14" ht="15" x14ac:dyDescent="0.25">
      <c r="A25" s="222" t="s">
        <v>27</v>
      </c>
      <c r="B25" s="225">
        <f>ROUND('CBS ($ per kW)'!J26,-B17)</f>
        <v>20600</v>
      </c>
      <c r="C25" s="225">
        <f>ROUND('CBS ($ per kW)'!L26,-B17)</f>
        <v>14480</v>
      </c>
      <c r="D25" s="225">
        <f>ROUND('CBS ($ per kW)'!N26,-B17)</f>
        <v>12830</v>
      </c>
      <c r="E25" s="225">
        <f>ROUND('CBS ($ per kW)'!P26,-B17)</f>
        <v>12460</v>
      </c>
    </row>
    <row r="26" spans="1:14" ht="15" x14ac:dyDescent="0.25">
      <c r="A26" s="222" t="s">
        <v>495</v>
      </c>
      <c r="B26" s="225">
        <f>ROUND('CBS ($ per kW)'!J31,-B17)</f>
        <v>4390</v>
      </c>
      <c r="C26" s="225">
        <f>ROUND('CBS ($ per kW)'!L31,-B17)</f>
        <v>2610</v>
      </c>
      <c r="D26" s="225">
        <f>ROUND('CBS ($ per kW)'!N31,-B17)</f>
        <v>1830</v>
      </c>
      <c r="E26" s="225">
        <f>ROUND('CBS ($ per kW)'!P31,-B17)</f>
        <v>1580</v>
      </c>
    </row>
    <row r="27" spans="1:14" ht="15" x14ac:dyDescent="0.25">
      <c r="A27" s="222" t="s">
        <v>72</v>
      </c>
      <c r="B27" s="225">
        <f>ROUND('CBS ($ per kW)'!J41,-B17)</f>
        <v>2500</v>
      </c>
      <c r="C27" s="225">
        <f>ROUND('CBS ($ per kW)'!L41,-B17)</f>
        <v>1710</v>
      </c>
      <c r="D27" s="225">
        <f>ROUND('CBS ($ per kW)'!N41,-B17)</f>
        <v>1470</v>
      </c>
      <c r="E27" s="225">
        <f>ROUND('CBS ($ per kW)'!P41,-B17)</f>
        <v>1400</v>
      </c>
    </row>
    <row r="28" spans="1:14" ht="15" x14ac:dyDescent="0.25">
      <c r="A28" s="222" t="s">
        <v>47</v>
      </c>
      <c r="B28" s="225">
        <f>ROUND('CBS ($ per kW)'!J42,-B17)</f>
        <v>15840</v>
      </c>
      <c r="C28" s="225">
        <f>ROUND('CBS ($ per kW)'!L42,-B17)</f>
        <v>2430</v>
      </c>
      <c r="D28" s="225">
        <f>ROUND('CBS ($ per kW)'!N42,-B17)</f>
        <v>1150</v>
      </c>
      <c r="E28" s="225">
        <f>ROUND('CBS ($ per kW)'!P42,-B17)</f>
        <v>1020</v>
      </c>
    </row>
    <row r="29" spans="1:14" ht="15" x14ac:dyDescent="0.25">
      <c r="A29" s="222" t="s">
        <v>143</v>
      </c>
      <c r="B29" s="225">
        <f>ROUND('CBS ($ per kW)'!J50,-B17)</f>
        <v>6250</v>
      </c>
      <c r="C29" s="225">
        <f>ROUND('CBS ($ per kW)'!L50,-B17)</f>
        <v>3150</v>
      </c>
      <c r="D29" s="225">
        <f>ROUND('CBS ($ per kW)'!N50,-B17)</f>
        <v>2180</v>
      </c>
      <c r="E29" s="225">
        <f>ROUND('CBS ($ per kW)'!P50,-B17)</f>
        <v>2010</v>
      </c>
    </row>
    <row r="30" spans="1:14" ht="15" x14ac:dyDescent="0.25">
      <c r="A30" s="222" t="s">
        <v>81</v>
      </c>
      <c r="B30" s="217">
        <f>SUM(B22:B29)</f>
        <v>68750</v>
      </c>
      <c r="C30" s="217">
        <f>SUM(C22:C29)</f>
        <v>34640</v>
      </c>
      <c r="D30" s="217">
        <f>SUM(D22:D29)</f>
        <v>23950</v>
      </c>
      <c r="E30" s="217">
        <f>SUM(E22:E29)</f>
        <v>22130</v>
      </c>
    </row>
    <row r="31" spans="1:14" s="263" customFormat="1" ht="15" x14ac:dyDescent="0.25">
      <c r="A31" s="212"/>
      <c r="B31" s="271"/>
      <c r="C31" s="271"/>
      <c r="D31" s="271"/>
      <c r="E31" s="271"/>
    </row>
    <row r="32" spans="1:14" s="263" customFormat="1" ht="15" x14ac:dyDescent="0.25">
      <c r="A32" s="212"/>
      <c r="B32" s="271"/>
      <c r="C32" s="271"/>
      <c r="D32" s="271"/>
      <c r="E32" s="271"/>
    </row>
    <row r="33" spans="1:7" s="263" customFormat="1" ht="15" x14ac:dyDescent="0.25">
      <c r="A33" s="212"/>
      <c r="B33" s="271"/>
      <c r="C33" s="271"/>
      <c r="D33" s="271"/>
      <c r="E33" s="271"/>
    </row>
    <row r="34" spans="1:7" s="263" customFormat="1" ht="15" x14ac:dyDescent="0.25">
      <c r="A34" t="s">
        <v>0</v>
      </c>
      <c r="B34"/>
      <c r="C34"/>
      <c r="D34"/>
      <c r="E34"/>
      <c r="F34"/>
      <c r="G34"/>
    </row>
    <row r="35" spans="1:7" s="263" customFormat="1" ht="15" x14ac:dyDescent="0.25">
      <c r="A35" s="234"/>
      <c r="B35" s="973" t="s">
        <v>88</v>
      </c>
      <c r="C35" s="974"/>
      <c r="D35" s="973" t="s">
        <v>89</v>
      </c>
      <c r="E35" s="974"/>
      <c r="F35" s="973" t="s">
        <v>90</v>
      </c>
      <c r="G35" s="974"/>
    </row>
    <row r="36" spans="1:7" s="263" customFormat="1" ht="15" x14ac:dyDescent="0.25">
      <c r="A36" s="232"/>
      <c r="B36" s="233" t="s">
        <v>194</v>
      </c>
      <c r="C36" s="233" t="s">
        <v>195</v>
      </c>
      <c r="D36" s="233" t="s">
        <v>194</v>
      </c>
      <c r="E36" s="233" t="s">
        <v>195</v>
      </c>
      <c r="F36" s="233" t="s">
        <v>194</v>
      </c>
      <c r="G36" s="233" t="s">
        <v>195</v>
      </c>
    </row>
    <row r="37" spans="1:7" s="263" customFormat="1" ht="15" x14ac:dyDescent="0.25">
      <c r="A37" s="229" t="s">
        <v>100</v>
      </c>
      <c r="B37" s="231">
        <f>'CBS (CoE)'!L6</f>
        <v>27.479032228795905</v>
      </c>
      <c r="C37" s="230">
        <f t="shared" ref="C37:C44" si="0">B37/B$45</f>
        <v>0.1778636021901055</v>
      </c>
      <c r="D37" s="231">
        <f>'CBS (CoE)'!N6</f>
        <v>7.5031192204316524</v>
      </c>
      <c r="E37" s="241">
        <f t="shared" ref="E37:E44" si="1">D37/D$45</f>
        <v>7.0269273303667348E-2</v>
      </c>
      <c r="F37" s="228">
        <f>'CBS (CoE)'!P6</f>
        <v>3.6882547507350529</v>
      </c>
      <c r="G37" s="241">
        <f t="shared" ref="G37:G44" si="2">F37/F$45</f>
        <v>3.7369595526050577E-2</v>
      </c>
    </row>
    <row r="38" spans="1:7" s="263" customFormat="1" ht="15" x14ac:dyDescent="0.25">
      <c r="A38" s="229" t="s">
        <v>10</v>
      </c>
      <c r="B38" s="231">
        <f>'CBS (CoE)'!L14</f>
        <v>9.3827642464954799</v>
      </c>
      <c r="C38" s="241">
        <f t="shared" si="0"/>
        <v>6.0731842136470461E-2</v>
      </c>
      <c r="D38" s="231">
        <f>'CBS (CoE)'!N14</f>
        <v>3.8697627419686329</v>
      </c>
      <c r="E38" s="241">
        <f t="shared" si="1"/>
        <v>3.6241649339019723E-2</v>
      </c>
      <c r="F38" s="228">
        <f>'CBS (CoE)'!P14</f>
        <v>4.2563087237924089</v>
      </c>
      <c r="G38" s="241">
        <f t="shared" si="2"/>
        <v>4.3125148936749437E-2</v>
      </c>
    </row>
    <row r="39" spans="1:7" s="263" customFormat="1" x14ac:dyDescent="0.3">
      <c r="A39" s="229" t="s">
        <v>18</v>
      </c>
      <c r="B39" s="231">
        <f>'CBS (CoE)'!L20</f>
        <v>8.8946172320146974</v>
      </c>
      <c r="C39" s="241">
        <f t="shared" si="0"/>
        <v>5.7572211707313165E-2</v>
      </c>
      <c r="D39" s="231">
        <f>'CBS (CoE)'!N20</f>
        <v>8.64863342539957</v>
      </c>
      <c r="E39" s="241">
        <f t="shared" si="1"/>
        <v>8.0997404948294605E-2</v>
      </c>
      <c r="F39" s="228">
        <f>'CBS (CoE)'!P20</f>
        <v>8.4026496187844391</v>
      </c>
      <c r="G39" s="241">
        <f t="shared" si="2"/>
        <v>8.5136097916912595E-2</v>
      </c>
    </row>
    <row r="40" spans="1:7" s="263" customFormat="1" x14ac:dyDescent="0.3">
      <c r="A40" s="229" t="s">
        <v>27</v>
      </c>
      <c r="B40" s="231">
        <f>'CBS (CoE)'!L26</f>
        <v>64.563608491300783</v>
      </c>
      <c r="C40" s="241">
        <f t="shared" si="0"/>
        <v>0.41790103381517929</v>
      </c>
      <c r="D40" s="231">
        <f>'CBS (CoE)'!N26</f>
        <v>57.1930099368603</v>
      </c>
      <c r="E40" s="241">
        <f t="shared" si="1"/>
        <v>0.53563206557730692</v>
      </c>
      <c r="F40" s="228">
        <f>'CBS (CoE)'!P26</f>
        <v>55.5629737180898</v>
      </c>
      <c r="G40" s="241">
        <f t="shared" si="2"/>
        <v>0.56296703844976648</v>
      </c>
    </row>
    <row r="41" spans="1:7" s="263" customFormat="1" x14ac:dyDescent="0.3">
      <c r="A41" s="229" t="s">
        <v>495</v>
      </c>
      <c r="B41" s="231">
        <f>'CBS (CoE)'!L31</f>
        <v>11.653002870731333</v>
      </c>
      <c r="C41" s="241">
        <f t="shared" si="0"/>
        <v>7.5426421486122899E-2</v>
      </c>
      <c r="D41" s="231">
        <f>'CBS (CoE)'!N31</f>
        <v>8.1716442127287792</v>
      </c>
      <c r="E41" s="241">
        <f t="shared" si="1"/>
        <v>7.6530238112294813E-2</v>
      </c>
      <c r="F41" s="228">
        <f>'CBS (CoE)'!P31</f>
        <v>7.0296104473722023</v>
      </c>
      <c r="G41" s="241">
        <f t="shared" si="2"/>
        <v>7.1224391176245336E-2</v>
      </c>
    </row>
    <row r="42" spans="1:7" s="263" customFormat="1" x14ac:dyDescent="0.3">
      <c r="A42" s="229" t="s">
        <v>72</v>
      </c>
      <c r="B42" s="231">
        <f>'CBS (CoE)'!L41</f>
        <v>7.621661136203211</v>
      </c>
      <c r="C42" s="241">
        <f t="shared" si="0"/>
        <v>4.9332745530130215E-2</v>
      </c>
      <c r="D42" s="231">
        <f>'CBS (CoE)'!N41</f>
        <v>6.536465414958907</v>
      </c>
      <c r="E42" s="241">
        <f t="shared" si="1"/>
        <v>6.1216230368960158E-2</v>
      </c>
      <c r="F42" s="228">
        <f>'CBS (CoE)'!P41</f>
        <v>6.2592584165462011</v>
      </c>
      <c r="G42" s="241">
        <f t="shared" si="2"/>
        <v>6.3419142962601177E-2</v>
      </c>
    </row>
    <row r="43" spans="1:7" s="263" customFormat="1" x14ac:dyDescent="0.3">
      <c r="A43" s="229" t="s">
        <v>47</v>
      </c>
      <c r="B43" s="231">
        <f>'CBS (CoE)'!L42</f>
        <v>10.855288281729731</v>
      </c>
      <c r="C43" s="241">
        <f t="shared" si="0"/>
        <v>7.0263052225587569E-2</v>
      </c>
      <c r="D43" s="231">
        <f>'CBS (CoE)'!N42</f>
        <v>5.1470678129388405</v>
      </c>
      <c r="E43" s="241">
        <f t="shared" si="1"/>
        <v>4.8204047441365507E-2</v>
      </c>
      <c r="F43" s="228">
        <f>'CBS (CoE)'!P42</f>
        <v>4.5251925298076561</v>
      </c>
      <c r="G43" s="241">
        <f t="shared" si="2"/>
        <v>4.5849494122583552E-2</v>
      </c>
    </row>
    <row r="44" spans="1:7" s="263" customFormat="1" x14ac:dyDescent="0.3">
      <c r="A44" s="229" t="s">
        <v>143</v>
      </c>
      <c r="B44" s="231">
        <f>'CBS (CoE)'!L50</f>
        <v>14.044997448727113</v>
      </c>
      <c r="C44" s="241">
        <f t="shared" si="0"/>
        <v>9.0909090909090898E-2</v>
      </c>
      <c r="D44" s="231">
        <f>'CBS (CoE)'!N50</f>
        <v>9.7069702765286703</v>
      </c>
      <c r="E44" s="241">
        <f t="shared" si="1"/>
        <v>9.0909090909090925E-2</v>
      </c>
      <c r="F44" s="228">
        <f>'CBS (CoE)'!P50</f>
        <v>8.9724248205127761</v>
      </c>
      <c r="G44" s="241">
        <f t="shared" si="2"/>
        <v>9.0909090909090912E-2</v>
      </c>
    </row>
    <row r="45" spans="1:7" s="263" customFormat="1" x14ac:dyDescent="0.3">
      <c r="A45" s="229" t="s">
        <v>81</v>
      </c>
      <c r="B45" s="231">
        <f>SUM(B37:B44)</f>
        <v>154.49497193599825</v>
      </c>
      <c r="C45" s="227"/>
      <c r="D45" s="231">
        <f>SUM(D37:D44)</f>
        <v>106.77667304181536</v>
      </c>
      <c r="E45" s="227"/>
      <c r="F45" s="231">
        <f>SUM(F37:F44)</f>
        <v>98.696673025640536</v>
      </c>
      <c r="G45" s="227"/>
    </row>
    <row r="46" spans="1:7" s="263" customFormat="1" x14ac:dyDescent="0.3">
      <c r="A46" s="212"/>
      <c r="B46" s="271"/>
      <c r="C46" s="271"/>
      <c r="D46" s="271"/>
      <c r="E46" s="271"/>
    </row>
    <row r="47" spans="1:7" x14ac:dyDescent="0.3">
      <c r="A47" t="s">
        <v>191</v>
      </c>
      <c r="B47">
        <v>0</v>
      </c>
      <c r="C47" t="s">
        <v>192</v>
      </c>
    </row>
    <row r="48" spans="1:7" x14ac:dyDescent="0.3">
      <c r="A48" t="s">
        <v>190</v>
      </c>
      <c r="B48">
        <v>1000</v>
      </c>
    </row>
    <row r="49" spans="1:5" x14ac:dyDescent="0.3">
      <c r="A49" s="247" t="str">
        <f>IF(B48=1,"Annual Cost ($)",IF(B48=1000,"Annual Cost in Thousands ($)",IF(B48=1000000,"Annual Cost in Millions ($)","CostBasisnotspecified")))</f>
        <v>Annual Cost in Thousands ($)</v>
      </c>
    </row>
    <row r="50" spans="1:5" x14ac:dyDescent="0.3">
      <c r="A50" s="977"/>
      <c r="B50" s="288" t="s">
        <v>98</v>
      </c>
      <c r="C50" s="289" t="s">
        <v>88</v>
      </c>
      <c r="D50" s="290" t="s">
        <v>89</v>
      </c>
      <c r="E50" s="288" t="s">
        <v>90</v>
      </c>
    </row>
    <row r="51" spans="1:5" x14ac:dyDescent="0.3">
      <c r="A51" s="978"/>
      <c r="B51" s="288" t="s">
        <v>198</v>
      </c>
      <c r="C51" s="288" t="s">
        <v>198</v>
      </c>
      <c r="D51" s="288" t="s">
        <v>198</v>
      </c>
      <c r="E51" s="288" t="s">
        <v>198</v>
      </c>
    </row>
    <row r="52" spans="1:5" x14ac:dyDescent="0.3">
      <c r="A52" s="235" t="s">
        <v>52</v>
      </c>
      <c r="B52" s="236">
        <f>ROUND('CBS (Total)'!J53/B48,-B47)</f>
        <v>362</v>
      </c>
      <c r="C52" s="236">
        <f>ROUND('CBS (Total)'!L53/B48,-B47)</f>
        <v>1890</v>
      </c>
      <c r="D52" s="236">
        <f>ROUND('CBS (Total)'!N53/B48,-B47)</f>
        <v>3747</v>
      </c>
      <c r="E52" s="236">
        <f>ROUND('CBS (Total)'!P53/B48,-B47)</f>
        <v>3599</v>
      </c>
    </row>
    <row r="53" spans="1:5" x14ac:dyDescent="0.3">
      <c r="A53" s="235" t="s">
        <v>197</v>
      </c>
      <c r="B53" s="236">
        <f>ROUND('CBS (Total)'!J54/B48,-B47)</f>
        <v>855</v>
      </c>
      <c r="C53" s="236">
        <f>ROUND('CBS (Total)'!L54/B48,-B47)</f>
        <v>1266</v>
      </c>
      <c r="D53" s="236">
        <f>ROUND('CBS (Total)'!N54/B48,-B47)</f>
        <v>1266</v>
      </c>
      <c r="E53" s="236">
        <f>ROUND('CBS (Total)'!P54/B48,-B47)</f>
        <v>1266</v>
      </c>
    </row>
    <row r="54" spans="1:5" x14ac:dyDescent="0.3">
      <c r="A54" s="235" t="s">
        <v>54</v>
      </c>
      <c r="B54" s="236">
        <f>ROUND('CBS (Total)'!J55/B48,-B47)</f>
        <v>31</v>
      </c>
      <c r="C54" s="236">
        <f>ROUND('CBS (Total)'!L55/B48,-B47)</f>
        <v>314</v>
      </c>
      <c r="D54" s="236">
        <f>ROUND('CBS (Total)'!N55/B48,-B47)</f>
        <v>542</v>
      </c>
      <c r="E54" s="236">
        <f>ROUND('CBS (Total)'!P55/B48,-B47)</f>
        <v>1084</v>
      </c>
    </row>
    <row r="55" spans="1:5" x14ac:dyDescent="0.3">
      <c r="A55" s="235" t="s">
        <v>55</v>
      </c>
      <c r="B55" s="236">
        <f>ROUND('CBS (Total)'!J56/B48,-B47)</f>
        <v>262</v>
      </c>
      <c r="C55" s="236">
        <f>ROUND('CBS (Total)'!L56/B48,-B47)</f>
        <v>400</v>
      </c>
      <c r="D55" s="236">
        <f>ROUND('CBS (Total)'!N56/B48,-B47)</f>
        <v>455</v>
      </c>
      <c r="E55" s="236">
        <f>ROUND('CBS (Total)'!P56/B48,-B47)</f>
        <v>675</v>
      </c>
    </row>
    <row r="56" spans="1:5" x14ac:dyDescent="0.3">
      <c r="A56" s="235" t="s">
        <v>56</v>
      </c>
      <c r="B56" s="236">
        <f>ROUND('CBS (Total)'!J57/B48,-B47)</f>
        <v>47</v>
      </c>
      <c r="C56" s="236">
        <f>ROUND('CBS (Total)'!L57/B48,-B47)</f>
        <v>43</v>
      </c>
      <c r="D56" s="236">
        <f>ROUND('CBS (Total)'!N57/B48,-B47)</f>
        <v>40</v>
      </c>
      <c r="E56" s="236">
        <f>ROUND('CBS (Total)'!P57/B48,-B47)</f>
        <v>68</v>
      </c>
    </row>
    <row r="57" spans="1:5" x14ac:dyDescent="0.3">
      <c r="A57" s="235" t="s">
        <v>57</v>
      </c>
      <c r="B57" s="236">
        <f>ROUND('CBS (Total)'!J58/B48,-B47)</f>
        <v>2</v>
      </c>
      <c r="C57" s="236">
        <f>ROUND('CBS (Total)'!L58/B48,-B47)</f>
        <v>20</v>
      </c>
      <c r="D57" s="236">
        <f>ROUND('CBS (Total)'!N58/B48,-B47)</f>
        <v>100</v>
      </c>
      <c r="E57" s="236">
        <f>ROUND('CBS (Total)'!P58/B48,-B47)</f>
        <v>200</v>
      </c>
    </row>
    <row r="58" spans="1:5" x14ac:dyDescent="0.3">
      <c r="A58" s="235" t="s">
        <v>81</v>
      </c>
      <c r="B58" s="236">
        <f>SUM(B52:B57)</f>
        <v>1559</v>
      </c>
      <c r="C58" s="236">
        <f t="shared" ref="C58:E58" si="3">SUM(C52:C57)</f>
        <v>3933</v>
      </c>
      <c r="D58" s="236">
        <f t="shared" si="3"/>
        <v>6150</v>
      </c>
      <c r="E58" s="236">
        <f t="shared" si="3"/>
        <v>6892</v>
      </c>
    </row>
    <row r="60" spans="1:5" x14ac:dyDescent="0.3">
      <c r="A60" t="s">
        <v>191</v>
      </c>
      <c r="B60">
        <v>1</v>
      </c>
      <c r="C60" t="s">
        <v>192</v>
      </c>
    </row>
    <row r="62" spans="1:5" x14ac:dyDescent="0.3">
      <c r="A62" t="s">
        <v>201</v>
      </c>
    </row>
    <row r="63" spans="1:5" x14ac:dyDescent="0.3">
      <c r="A63" s="977"/>
      <c r="B63" s="288" t="s">
        <v>98</v>
      </c>
      <c r="C63" s="289" t="s">
        <v>88</v>
      </c>
      <c r="D63" s="290" t="s">
        <v>89</v>
      </c>
      <c r="E63" s="288" t="s">
        <v>90</v>
      </c>
    </row>
    <row r="64" spans="1:5" x14ac:dyDescent="0.3">
      <c r="A64" s="978"/>
      <c r="B64" s="288" t="s">
        <v>196</v>
      </c>
      <c r="C64" s="288" t="s">
        <v>196</v>
      </c>
      <c r="D64" s="288" t="s">
        <v>196</v>
      </c>
      <c r="E64" s="288" t="s">
        <v>196</v>
      </c>
    </row>
    <row r="65" spans="1:7" x14ac:dyDescent="0.3">
      <c r="A65" s="237" t="s">
        <v>52</v>
      </c>
      <c r="B65" s="238">
        <f>ROUND('CBS ($ per kW)'!J55,-B60)</f>
        <v>970</v>
      </c>
      <c r="C65" s="238">
        <f>ROUND('CBS ($ per kW)'!L55,-B60)</f>
        <v>510</v>
      </c>
      <c r="D65" s="238">
        <f>ROUND('CBS ($ per kW)'!N55,-B60)</f>
        <v>200</v>
      </c>
      <c r="E65" s="238">
        <f>ROUND('CBS ($ per kW)'!P55,-B60)</f>
        <v>100</v>
      </c>
    </row>
    <row r="66" spans="1:7" x14ac:dyDescent="0.3">
      <c r="A66" s="237" t="s">
        <v>197</v>
      </c>
      <c r="B66" s="238">
        <f>ROUND('CBS ($ per kW)'!J56,-B60)</f>
        <v>2290</v>
      </c>
      <c r="C66" s="238">
        <f>ROUND('CBS ($ per kW)'!L56,-B60)</f>
        <v>340</v>
      </c>
      <c r="D66" s="238">
        <f>ROUND('CBS ($ per kW)'!N56,-B60)</f>
        <v>70</v>
      </c>
      <c r="E66" s="238">
        <f>ROUND('CBS ($ per kW)'!P56,-B60)</f>
        <v>30</v>
      </c>
    </row>
    <row r="67" spans="1:7" x14ac:dyDescent="0.3">
      <c r="A67" s="237" t="s">
        <v>54</v>
      </c>
      <c r="B67" s="238">
        <f>ROUND('CBS ($ per kW)'!J57,-B60)</f>
        <v>80</v>
      </c>
      <c r="C67" s="238">
        <f>ROUND('CBS ($ per kW)'!L57,-B60)</f>
        <v>80</v>
      </c>
      <c r="D67" s="238">
        <f>ROUND('CBS ($ per kW)'!N57,-B60)</f>
        <v>30</v>
      </c>
      <c r="E67" s="238">
        <f>ROUND('CBS ($ per kW)'!P57,-B60)</f>
        <v>30</v>
      </c>
    </row>
    <row r="68" spans="1:7" x14ac:dyDescent="0.3">
      <c r="A68" s="237" t="s">
        <v>55</v>
      </c>
      <c r="B68" s="238">
        <f>ROUND('CBS ($ per kW)'!J58,-B60)</f>
        <v>700</v>
      </c>
      <c r="C68" s="238">
        <f>ROUND('CBS ($ per kW)'!L58,-B60)</f>
        <v>110</v>
      </c>
      <c r="D68" s="238">
        <f>ROUND('CBS ($ per kW)'!N58,-B60)</f>
        <v>20</v>
      </c>
      <c r="E68" s="238">
        <f>ROUND('CBS ($ per kW)'!P58,-B60)</f>
        <v>20</v>
      </c>
    </row>
    <row r="69" spans="1:7" x14ac:dyDescent="0.3">
      <c r="A69" s="237" t="s">
        <v>56</v>
      </c>
      <c r="B69" s="238">
        <f>ROUND('CBS ($ per kW)'!J59,-B60)</f>
        <v>130</v>
      </c>
      <c r="C69" s="238">
        <f>ROUND('CBS ($ per kW)'!L59,-B60)</f>
        <v>10</v>
      </c>
      <c r="D69" s="238">
        <f>ROUND('CBS ($ per kW)'!N59,-B60)</f>
        <v>0</v>
      </c>
      <c r="E69" s="238">
        <f>ROUND('CBS ($ per kW)'!P59,-B60)</f>
        <v>0</v>
      </c>
    </row>
    <row r="70" spans="1:7" x14ac:dyDescent="0.3">
      <c r="A70" s="237" t="s">
        <v>57</v>
      </c>
      <c r="B70" s="238">
        <f>ROUND('CBS ($ per kW)'!J60,-B60)</f>
        <v>10</v>
      </c>
      <c r="C70" s="238">
        <f>ROUND('CBS ($ per kW)'!L60,-B60)</f>
        <v>10</v>
      </c>
      <c r="D70" s="238">
        <f>ROUND('CBS ($ per kW)'!N60,-B60)</f>
        <v>10</v>
      </c>
      <c r="E70" s="238">
        <f>ROUND('CBS ($ per kW)'!P60,-B60)</f>
        <v>10</v>
      </c>
    </row>
    <row r="71" spans="1:7" x14ac:dyDescent="0.3">
      <c r="A71" s="237" t="s">
        <v>81</v>
      </c>
      <c r="B71" s="238">
        <f>SUM(B65:B70)</f>
        <v>4180</v>
      </c>
      <c r="C71" s="238">
        <f t="shared" ref="C71:E71" si="4">SUM(C65:C70)</f>
        <v>1060</v>
      </c>
      <c r="D71" s="238">
        <f t="shared" si="4"/>
        <v>330</v>
      </c>
      <c r="E71" s="238">
        <f t="shared" si="4"/>
        <v>190</v>
      </c>
    </row>
    <row r="73" spans="1:7" x14ac:dyDescent="0.3">
      <c r="A73" s="248"/>
    </row>
    <row r="76" spans="1:7" x14ac:dyDescent="0.3">
      <c r="A76" t="s">
        <v>201</v>
      </c>
    </row>
    <row r="77" spans="1:7" x14ac:dyDescent="0.3">
      <c r="A77" s="975"/>
      <c r="B77" s="973" t="s">
        <v>88</v>
      </c>
      <c r="C77" s="974"/>
      <c r="D77" s="973" t="s">
        <v>89</v>
      </c>
      <c r="E77" s="974"/>
      <c r="F77" s="973" t="s">
        <v>90</v>
      </c>
      <c r="G77" s="974"/>
    </row>
    <row r="78" spans="1:7" x14ac:dyDescent="0.3">
      <c r="A78" s="976"/>
      <c r="B78" s="246" t="s">
        <v>194</v>
      </c>
      <c r="C78" s="246" t="s">
        <v>195</v>
      </c>
      <c r="D78" s="246" t="s">
        <v>194</v>
      </c>
      <c r="E78" s="246" t="s">
        <v>195</v>
      </c>
      <c r="F78" s="246" t="s">
        <v>194</v>
      </c>
      <c r="G78" s="246" t="s">
        <v>195</v>
      </c>
    </row>
    <row r="79" spans="1:7" x14ac:dyDescent="0.3">
      <c r="A79" s="242" t="s">
        <v>52</v>
      </c>
      <c r="B79" s="243">
        <f>'CBS (CoE)'!L55</f>
        <v>20.909892292925068</v>
      </c>
      <c r="C79" s="241">
        <f t="shared" ref="C79:C84" si="5">B79/B$85</f>
        <v>0.48068966126800844</v>
      </c>
      <c r="D79" s="243">
        <f>'CBS (CoE)'!N55</f>
        <v>8.2889793495888568</v>
      </c>
      <c r="E79" s="241">
        <f t="shared" ref="E79:E84" si="6">D79/D$85</f>
        <v>0.60927976498502612</v>
      </c>
      <c r="F79" s="243">
        <f>'CBS (CoE)'!P55</f>
        <v>3.9811196589165263</v>
      </c>
      <c r="G79" s="241">
        <f t="shared" ref="G79:G84" si="7">F79/F$85</f>
        <v>0.52221333188172325</v>
      </c>
    </row>
    <row r="80" spans="1:7" x14ac:dyDescent="0.3">
      <c r="A80" s="242" t="s">
        <v>197</v>
      </c>
      <c r="B80" s="243">
        <f>'CBS (CoE)'!L56</f>
        <v>14.003929064457893</v>
      </c>
      <c r="C80" s="241">
        <f t="shared" si="5"/>
        <v>0.32193106612477018</v>
      </c>
      <c r="D80" s="243">
        <f>'CBS (CoE)'!N56</f>
        <v>2.8007858128915784</v>
      </c>
      <c r="E80" s="241">
        <f t="shared" si="6"/>
        <v>0.2058711995629014</v>
      </c>
      <c r="F80" s="243">
        <f>'CBS (CoE)'!P56</f>
        <v>1.4003929064457892</v>
      </c>
      <c r="G80" s="241">
        <f t="shared" si="7"/>
        <v>0.18369300806638214</v>
      </c>
    </row>
    <row r="81" spans="1:7" x14ac:dyDescent="0.3">
      <c r="A81" s="242" t="s">
        <v>54</v>
      </c>
      <c r="B81" s="243">
        <f>'CBS (CoE)'!L57</f>
        <v>3.4685350371078307</v>
      </c>
      <c r="C81" s="241">
        <f t="shared" si="5"/>
        <v>7.9736849369028792E-2</v>
      </c>
      <c r="D81" s="243">
        <f>'CBS (CoE)'!N57</f>
        <v>1.1989988554977404</v>
      </c>
      <c r="E81" s="241">
        <f t="shared" si="6"/>
        <v>8.8132170450058306E-2</v>
      </c>
      <c r="F81" s="243">
        <f>'CBS (CoE)'!P57</f>
        <v>1.1989988554977404</v>
      </c>
      <c r="G81" s="241">
        <f t="shared" si="7"/>
        <v>0.15727565129812049</v>
      </c>
    </row>
    <row r="82" spans="1:7" x14ac:dyDescent="0.3">
      <c r="A82" s="242" t="s">
        <v>55</v>
      </c>
      <c r="B82" s="243">
        <f>'CBS (CoE)'!L58</f>
        <v>4.4239141977275134</v>
      </c>
      <c r="C82" s="241">
        <f t="shared" si="5"/>
        <v>0.10169970210242978</v>
      </c>
      <c r="D82" s="243">
        <f>'CBS (CoE)'!N58</f>
        <v>1.0059201444196666</v>
      </c>
      <c r="E82" s="241">
        <f t="shared" si="6"/>
        <v>7.3939958508416101E-2</v>
      </c>
      <c r="F82" s="243">
        <f>'CBS (CoE)'!P58</f>
        <v>0.74625013273866403</v>
      </c>
      <c r="G82" s="241">
        <f t="shared" si="7"/>
        <v>9.7887479307942865E-2</v>
      </c>
    </row>
    <row r="83" spans="1:7" x14ac:dyDescent="0.3">
      <c r="A83" s="242" t="s">
        <v>56</v>
      </c>
      <c r="B83" s="243">
        <f>'CBS (CoE)'!L59</f>
        <v>0.47227368149743515</v>
      </c>
      <c r="C83" s="241">
        <f t="shared" si="5"/>
        <v>1.0856922302828378E-2</v>
      </c>
      <c r="D83" s="243">
        <f>'CBS (CoE)'!N59</f>
        <v>8.8638543210314807E-2</v>
      </c>
      <c r="E83" s="241">
        <f t="shared" si="6"/>
        <v>6.515358344869617E-3</v>
      </c>
      <c r="F83" s="243">
        <f>'CBS (CoE)'!P59</f>
        <v>7.5557746746126961E-2</v>
      </c>
      <c r="G83" s="241">
        <f t="shared" si="7"/>
        <v>9.9110968919002077E-3</v>
      </c>
    </row>
    <row r="84" spans="1:7" x14ac:dyDescent="0.3">
      <c r="A84" s="242" t="s">
        <v>57</v>
      </c>
      <c r="B84" s="243">
        <f>'CBS (CoE)'!L60</f>
        <v>0.2212311068634738</v>
      </c>
      <c r="C84" s="241">
        <f t="shared" si="5"/>
        <v>5.0857988329347575E-3</v>
      </c>
      <c r="D84" s="243">
        <f>'CBS (CoE)'!N60</f>
        <v>0.22123110686347386</v>
      </c>
      <c r="E84" s="241">
        <f t="shared" si="6"/>
        <v>1.6261548148728391E-2</v>
      </c>
      <c r="F84" s="243">
        <f>'CBS (CoE)'!P60</f>
        <v>0.22123110686347386</v>
      </c>
      <c r="G84" s="241">
        <f t="shared" si="7"/>
        <v>2.9019432553930836E-2</v>
      </c>
    </row>
    <row r="85" spans="1:7" x14ac:dyDescent="0.3">
      <c r="A85" s="242" t="s">
        <v>81</v>
      </c>
      <c r="B85" s="243">
        <f>SUM(B79:B84)</f>
        <v>43.499775380579202</v>
      </c>
      <c r="C85" s="240"/>
      <c r="D85" s="243">
        <f>SUM(D79:D84)</f>
        <v>13.604553812471632</v>
      </c>
      <c r="E85" s="244"/>
      <c r="F85" s="243">
        <f>SUM(F79:F84)</f>
        <v>7.623550407208322</v>
      </c>
      <c r="G85" s="245"/>
    </row>
    <row r="89" spans="1:7" x14ac:dyDescent="0.3">
      <c r="A89" t="s">
        <v>202</v>
      </c>
    </row>
    <row r="90" spans="1:7" x14ac:dyDescent="0.3">
      <c r="A90" s="272"/>
      <c r="B90" s="973" t="s">
        <v>88</v>
      </c>
      <c r="C90" s="974"/>
      <c r="D90" s="973" t="s">
        <v>89</v>
      </c>
      <c r="E90" s="974"/>
      <c r="F90" s="973" t="s">
        <v>90</v>
      </c>
      <c r="G90" s="974"/>
    </row>
    <row r="91" spans="1:7" x14ac:dyDescent="0.3">
      <c r="A91" s="255"/>
      <c r="B91" s="256" t="s">
        <v>194</v>
      </c>
      <c r="C91" s="256" t="s">
        <v>195</v>
      </c>
      <c r="D91" s="256" t="s">
        <v>194</v>
      </c>
      <c r="E91" s="256" t="s">
        <v>195</v>
      </c>
      <c r="F91" s="256" t="s">
        <v>194</v>
      </c>
      <c r="G91" s="256" t="s">
        <v>195</v>
      </c>
    </row>
    <row r="92" spans="1:7" x14ac:dyDescent="0.3">
      <c r="A92" s="251" t="s">
        <v>199</v>
      </c>
      <c r="B92" s="252">
        <f>B39+B40+B41+B42</f>
        <v>92.732889730250022</v>
      </c>
      <c r="C92" s="250">
        <f t="shared" ref="C92:C97" si="8">B92/B$98</f>
        <v>0.46836035292379591</v>
      </c>
      <c r="D92" s="252">
        <f>D39+D40+D41+D42</f>
        <v>80.549752989947564</v>
      </c>
      <c r="E92" s="250">
        <f t="shared" ref="E92:E97" si="9">D92/D$98</f>
        <v>0.66912221361099244</v>
      </c>
      <c r="F92" s="252">
        <f>F39+F40+F41+F42</f>
        <v>77.25449220079264</v>
      </c>
      <c r="G92" s="250">
        <f t="shared" ref="G92:G97" si="10">F92/F$98</f>
        <v>0.72662086013754534</v>
      </c>
    </row>
    <row r="93" spans="1:7" x14ac:dyDescent="0.3">
      <c r="A93" s="251" t="s">
        <v>10</v>
      </c>
      <c r="B93" s="252">
        <f>B38</f>
        <v>9.3827642464954799</v>
      </c>
      <c r="C93" s="250">
        <f t="shared" si="8"/>
        <v>4.7388955382201142E-2</v>
      </c>
      <c r="D93" s="252">
        <f>D38</f>
        <v>3.8697627419686329</v>
      </c>
      <c r="E93" s="250">
        <f t="shared" si="9"/>
        <v>3.2145898850596599E-2</v>
      </c>
      <c r="F93" s="252">
        <f>F38</f>
        <v>4.2563087237924089</v>
      </c>
      <c r="G93" s="250">
        <f t="shared" si="10"/>
        <v>4.0032917410869298E-2</v>
      </c>
    </row>
    <row r="94" spans="1:7" x14ac:dyDescent="0.3">
      <c r="A94" s="251" t="s">
        <v>100</v>
      </c>
      <c r="B94" s="252">
        <f>B37</f>
        <v>27.479032228795905</v>
      </c>
      <c r="C94" s="250">
        <f t="shared" si="8"/>
        <v>0.13878667288511029</v>
      </c>
      <c r="D94" s="252">
        <f>D37</f>
        <v>7.5031192204316524</v>
      </c>
      <c r="E94" s="250">
        <f t="shared" si="9"/>
        <v>6.2327984325277315E-2</v>
      </c>
      <c r="F94" s="252">
        <f>F37</f>
        <v>3.6882547507350529</v>
      </c>
      <c r="G94" s="250">
        <f t="shared" si="10"/>
        <v>3.4690058312984356E-2</v>
      </c>
    </row>
    <row r="95" spans="1:7" x14ac:dyDescent="0.3">
      <c r="A95" s="251" t="s">
        <v>47</v>
      </c>
      <c r="B95" s="252">
        <f>B43</f>
        <v>10.855288281729731</v>
      </c>
      <c r="C95" s="250">
        <f t="shared" si="8"/>
        <v>5.4826142758085443E-2</v>
      </c>
      <c r="D95" s="252">
        <f>D43</f>
        <v>5.1470678129388405</v>
      </c>
      <c r="E95" s="250">
        <f t="shared" si="9"/>
        <v>4.2756399377529224E-2</v>
      </c>
      <c r="F95" s="252">
        <f>F43</f>
        <v>4.5251925298076561</v>
      </c>
      <c r="G95" s="250">
        <f t="shared" si="10"/>
        <v>4.2561917043616233E-2</v>
      </c>
    </row>
    <row r="96" spans="1:7" x14ac:dyDescent="0.3">
      <c r="A96" s="251" t="s">
        <v>143</v>
      </c>
      <c r="B96" s="252">
        <f>B44</f>
        <v>14.044997448727113</v>
      </c>
      <c r="C96" s="250">
        <f t="shared" si="8"/>
        <v>7.0936212394919276E-2</v>
      </c>
      <c r="D96" s="252">
        <f>D44</f>
        <v>9.7069702765286703</v>
      </c>
      <c r="E96" s="250">
        <f t="shared" si="9"/>
        <v>8.0635249616439572E-2</v>
      </c>
      <c r="F96" s="252">
        <f>F44</f>
        <v>8.9724248205127761</v>
      </c>
      <c r="G96" s="250">
        <f t="shared" si="10"/>
        <v>8.4390575290501521E-2</v>
      </c>
    </row>
    <row r="97" spans="1:8" x14ac:dyDescent="0.3">
      <c r="A97" s="251" t="s">
        <v>200</v>
      </c>
      <c r="B97" s="252">
        <f>B85</f>
        <v>43.499775380579202</v>
      </c>
      <c r="C97" s="250">
        <f t="shared" si="8"/>
        <v>0.21970166365588781</v>
      </c>
      <c r="D97" s="252">
        <f>D85</f>
        <v>13.604553812471632</v>
      </c>
      <c r="E97" s="250">
        <f t="shared" si="9"/>
        <v>0.11301225421916482</v>
      </c>
      <c r="F97" s="252">
        <f>F85</f>
        <v>7.623550407208322</v>
      </c>
      <c r="G97" s="250">
        <f t="shared" si="10"/>
        <v>7.1703671804483227E-2</v>
      </c>
    </row>
    <row r="98" spans="1:8" x14ac:dyDescent="0.3">
      <c r="A98" s="251" t="s">
        <v>81</v>
      </c>
      <c r="B98" s="252">
        <f>SUM(B92:B97)</f>
        <v>197.99474731657747</v>
      </c>
      <c r="C98" s="249"/>
      <c r="D98" s="252">
        <f>SUM(D92:D97)</f>
        <v>120.38122685428699</v>
      </c>
      <c r="E98" s="253"/>
      <c r="F98" s="252">
        <f>SUM(F92:F97)</f>
        <v>106.32022343284886</v>
      </c>
      <c r="G98" s="254"/>
    </row>
    <row r="100" spans="1:8" x14ac:dyDescent="0.3">
      <c r="A100" s="406"/>
      <c r="B100" s="406"/>
      <c r="C100" s="406"/>
      <c r="D100" s="406"/>
      <c r="E100" s="406"/>
      <c r="F100" s="406"/>
      <c r="G100" s="406"/>
      <c r="H100" s="406"/>
    </row>
    <row r="101" spans="1:8" ht="15" customHeight="1" x14ac:dyDescent="0.3">
      <c r="A101" s="406"/>
      <c r="B101" s="406"/>
      <c r="C101" s="406"/>
      <c r="D101" s="406"/>
      <c r="E101" s="406"/>
      <c r="F101" s="406"/>
      <c r="G101" s="406"/>
      <c r="H101" s="406"/>
    </row>
    <row r="102" spans="1:8" ht="14.25" customHeight="1" x14ac:dyDescent="0.3">
      <c r="A102" s="346"/>
      <c r="B102" s="393"/>
      <c r="C102" s="367"/>
      <c r="D102" s="367"/>
      <c r="E102" s="367"/>
      <c r="F102" s="367"/>
      <c r="G102" s="406"/>
      <c r="H102" s="406"/>
    </row>
    <row r="103" spans="1:8" x14ac:dyDescent="0.3">
      <c r="A103" s="407"/>
      <c r="B103" s="407"/>
      <c r="C103" s="391"/>
      <c r="D103" s="391"/>
      <c r="E103" s="391"/>
      <c r="F103" s="391"/>
      <c r="G103" s="406"/>
      <c r="H103" s="406"/>
    </row>
    <row r="104" spans="1:8" x14ac:dyDescent="0.3">
      <c r="A104" s="407"/>
      <c r="B104" s="407"/>
      <c r="C104" s="391"/>
      <c r="D104" s="391"/>
      <c r="E104" s="391"/>
      <c r="F104" s="391"/>
      <c r="G104" s="406"/>
      <c r="H104" s="406"/>
    </row>
    <row r="105" spans="1:8" x14ac:dyDescent="0.3">
      <c r="A105" s="407"/>
      <c r="B105" s="391"/>
      <c r="C105" s="391"/>
      <c r="D105" s="391"/>
      <c r="E105" s="391"/>
      <c r="F105" s="391"/>
      <c r="G105" s="406"/>
      <c r="H105" s="406"/>
    </row>
    <row r="106" spans="1:8" x14ac:dyDescent="0.3">
      <c r="A106" s="407"/>
      <c r="B106" s="391"/>
      <c r="C106" s="391"/>
      <c r="D106" s="391"/>
      <c r="E106" s="391"/>
      <c r="F106" s="391"/>
      <c r="G106" s="406"/>
      <c r="H106" s="406"/>
    </row>
    <row r="107" spans="1:8" x14ac:dyDescent="0.3">
      <c r="A107" s="407"/>
      <c r="B107" s="391"/>
      <c r="C107" s="391"/>
      <c r="D107" s="391"/>
      <c r="E107" s="391"/>
      <c r="F107" s="391"/>
      <c r="G107" s="406"/>
      <c r="H107" s="406"/>
    </row>
    <row r="108" spans="1:8" x14ac:dyDescent="0.3">
      <c r="A108" s="407"/>
      <c r="B108" s="391"/>
      <c r="C108" s="391"/>
      <c r="D108" s="391"/>
      <c r="E108" s="391"/>
      <c r="F108" s="391"/>
      <c r="G108" s="406"/>
      <c r="H108" s="406"/>
    </row>
    <row r="109" spans="1:8" x14ac:dyDescent="0.3">
      <c r="A109" s="407"/>
      <c r="B109" s="391"/>
      <c r="C109" s="391"/>
      <c r="D109" s="391"/>
      <c r="E109" s="391"/>
      <c r="F109" s="391"/>
      <c r="G109" s="406"/>
      <c r="H109" s="406"/>
    </row>
    <row r="110" spans="1:8" x14ac:dyDescent="0.3">
      <c r="A110" s="407"/>
      <c r="B110" s="391"/>
      <c r="C110" s="391"/>
      <c r="D110" s="391"/>
      <c r="E110" s="391"/>
      <c r="F110" s="391"/>
      <c r="G110" s="406"/>
      <c r="H110" s="406"/>
    </row>
    <row r="111" spans="1:8" x14ac:dyDescent="0.3">
      <c r="A111" s="407"/>
      <c r="B111" s="391"/>
      <c r="C111" s="391"/>
      <c r="D111" s="391"/>
      <c r="E111" s="391"/>
      <c r="F111" s="391"/>
      <c r="G111" s="406"/>
      <c r="H111" s="406"/>
    </row>
    <row r="112" spans="1:8" x14ac:dyDescent="0.3">
      <c r="A112" s="407"/>
      <c r="B112" s="391"/>
      <c r="C112" s="391"/>
      <c r="D112" s="391"/>
      <c r="E112" s="391"/>
      <c r="F112" s="391"/>
      <c r="G112" s="406"/>
      <c r="H112" s="406"/>
    </row>
    <row r="113" spans="1:8" x14ac:dyDescent="0.3">
      <c r="A113" s="407"/>
      <c r="B113" s="407"/>
      <c r="C113" s="391"/>
      <c r="D113" s="391"/>
      <c r="E113" s="391"/>
      <c r="F113" s="391"/>
      <c r="G113" s="406"/>
      <c r="H113" s="406"/>
    </row>
    <row r="114" spans="1:8" x14ac:dyDescent="0.3">
      <c r="A114" s="407"/>
      <c r="B114" s="375"/>
      <c r="C114" s="391"/>
      <c r="D114" s="391"/>
      <c r="E114" s="391"/>
      <c r="F114" s="391"/>
      <c r="G114" s="406"/>
      <c r="H114" s="406"/>
    </row>
    <row r="115" spans="1:8" x14ac:dyDescent="0.3">
      <c r="A115" s="407"/>
      <c r="B115" s="407"/>
      <c r="C115" s="407"/>
      <c r="D115" s="407"/>
      <c r="E115" s="407"/>
      <c r="F115" s="407"/>
      <c r="G115" s="406"/>
      <c r="H115" s="406"/>
    </row>
    <row r="116" spans="1:8" x14ac:dyDescent="0.3">
      <c r="A116" s="345"/>
      <c r="B116" s="345"/>
      <c r="C116" s="390"/>
      <c r="D116" s="390"/>
      <c r="E116" s="390"/>
      <c r="F116" s="390"/>
      <c r="G116" s="406"/>
      <c r="H116" s="406"/>
    </row>
    <row r="117" spans="1:8" x14ac:dyDescent="0.3">
      <c r="A117" s="406"/>
      <c r="B117" s="406"/>
      <c r="C117" s="406"/>
      <c r="D117" s="406"/>
      <c r="E117" s="406"/>
      <c r="F117" s="406"/>
      <c r="G117" s="406"/>
      <c r="H117" s="406"/>
    </row>
    <row r="118" spans="1:8" x14ac:dyDescent="0.3">
      <c r="A118" s="406"/>
      <c r="B118" s="406"/>
      <c r="C118" s="406"/>
      <c r="D118" s="406"/>
      <c r="E118" s="406"/>
      <c r="F118" s="406"/>
      <c r="G118" s="406"/>
      <c r="H118" s="406"/>
    </row>
    <row r="119" spans="1:8" x14ac:dyDescent="0.3">
      <c r="A119" s="407"/>
      <c r="B119" s="405"/>
      <c r="C119" s="406"/>
      <c r="D119" s="406"/>
      <c r="E119" s="406"/>
      <c r="F119" s="406"/>
      <c r="G119" s="406"/>
      <c r="H119" s="406"/>
    </row>
    <row r="120" spans="1:8" x14ac:dyDescent="0.3">
      <c r="A120" s="407"/>
      <c r="B120" s="333"/>
      <c r="C120" s="406"/>
      <c r="D120" s="406"/>
      <c r="E120" s="406"/>
      <c r="F120" s="406"/>
      <c r="G120" s="406"/>
      <c r="H120" s="406"/>
    </row>
    <row r="121" spans="1:8" x14ac:dyDescent="0.3">
      <c r="A121" s="407"/>
      <c r="B121" s="333"/>
      <c r="C121" s="406"/>
      <c r="D121" s="406"/>
      <c r="E121" s="406"/>
      <c r="F121" s="406"/>
      <c r="G121" s="406"/>
      <c r="H121" s="406"/>
    </row>
    <row r="122" spans="1:8" x14ac:dyDescent="0.3">
      <c r="A122" s="407"/>
      <c r="B122" s="333"/>
      <c r="C122" s="406"/>
      <c r="D122" s="406"/>
      <c r="E122" s="406"/>
      <c r="F122" s="406"/>
      <c r="G122" s="406"/>
      <c r="H122" s="406"/>
    </row>
    <row r="123" spans="1:8" x14ac:dyDescent="0.3">
      <c r="A123" s="407"/>
      <c r="B123" s="333"/>
      <c r="C123" s="409"/>
      <c r="D123" s="406"/>
      <c r="E123" s="406"/>
      <c r="F123" s="406"/>
      <c r="G123" s="406"/>
      <c r="H123" s="406"/>
    </row>
    <row r="124" spans="1:8" x14ac:dyDescent="0.3">
      <c r="A124" s="407"/>
      <c r="B124" s="333"/>
      <c r="C124" s="406"/>
      <c r="D124" s="406"/>
      <c r="E124" s="406"/>
      <c r="F124" s="406"/>
      <c r="G124" s="406"/>
      <c r="H124" s="406"/>
    </row>
    <row r="125" spans="1:8" x14ac:dyDescent="0.3">
      <c r="A125" s="406"/>
      <c r="B125" s="406"/>
      <c r="C125" s="406"/>
      <c r="D125" s="406"/>
      <c r="E125" s="406"/>
      <c r="F125" s="406"/>
      <c r="G125" s="406"/>
      <c r="H125" s="406"/>
    </row>
    <row r="126" spans="1:8" x14ac:dyDescent="0.3">
      <c r="A126" s="406"/>
      <c r="B126" s="406"/>
      <c r="C126" s="406"/>
      <c r="D126" s="406"/>
      <c r="E126" s="406"/>
      <c r="F126" s="406"/>
      <c r="G126" s="406"/>
      <c r="H126" s="406"/>
    </row>
    <row r="127" spans="1:8" x14ac:dyDescent="0.3">
      <c r="A127" s="406"/>
      <c r="B127" s="406"/>
      <c r="C127" s="406"/>
      <c r="D127" s="406"/>
      <c r="E127" s="406"/>
      <c r="F127" s="406"/>
      <c r="G127" s="406"/>
      <c r="H127" s="406"/>
    </row>
    <row r="128" spans="1:8" x14ac:dyDescent="0.3">
      <c r="A128" s="406"/>
      <c r="B128" s="406"/>
      <c r="C128" s="406"/>
      <c r="D128" s="406"/>
      <c r="E128" s="406"/>
      <c r="F128" s="406"/>
      <c r="G128" s="406"/>
      <c r="H128" s="406"/>
    </row>
    <row r="129" spans="1:8" x14ac:dyDescent="0.3">
      <c r="A129" s="345"/>
      <c r="B129" s="405"/>
      <c r="C129" s="405"/>
      <c r="D129" s="405"/>
      <c r="E129" s="405"/>
      <c r="F129" s="406"/>
      <c r="G129" s="406"/>
      <c r="H129" s="406"/>
    </row>
    <row r="130" spans="1:8" x14ac:dyDescent="0.3">
      <c r="A130" s="407"/>
      <c r="B130" s="391"/>
      <c r="C130" s="391"/>
      <c r="D130" s="334"/>
      <c r="E130" s="391"/>
      <c r="F130" s="406"/>
      <c r="G130" s="406"/>
      <c r="H130" s="406"/>
    </row>
    <row r="131" spans="1:8" x14ac:dyDescent="0.3">
      <c r="A131" s="407"/>
      <c r="B131" s="391"/>
      <c r="C131" s="391"/>
      <c r="D131" s="334"/>
      <c r="E131" s="340"/>
      <c r="F131" s="406"/>
      <c r="G131" s="406"/>
      <c r="H131" s="406"/>
    </row>
    <row r="132" spans="1:8" x14ac:dyDescent="0.3">
      <c r="A132" s="407"/>
      <c r="B132" s="391"/>
      <c r="C132" s="391"/>
      <c r="D132" s="334"/>
      <c r="E132" s="340"/>
      <c r="F132" s="406"/>
      <c r="G132" s="406"/>
      <c r="H132" s="406"/>
    </row>
    <row r="133" spans="1:8" x14ac:dyDescent="0.3">
      <c r="A133" s="407"/>
      <c r="B133" s="391"/>
      <c r="C133" s="391"/>
      <c r="D133" s="334"/>
      <c r="E133" s="340"/>
      <c r="F133" s="406"/>
      <c r="G133" s="406"/>
      <c r="H133" s="406"/>
    </row>
    <row r="134" spans="1:8" x14ac:dyDescent="0.3">
      <c r="A134" s="407"/>
      <c r="B134" s="391"/>
      <c r="C134" s="391"/>
      <c r="D134" s="334"/>
      <c r="E134" s="340"/>
      <c r="F134" s="406"/>
      <c r="G134" s="406"/>
      <c r="H134" s="406"/>
    </row>
    <row r="135" spans="1:8" x14ac:dyDescent="0.3">
      <c r="A135" s="407"/>
      <c r="B135" s="391"/>
      <c r="C135" s="391"/>
      <c r="D135" s="334"/>
      <c r="E135" s="391"/>
      <c r="F135" s="406"/>
      <c r="G135" s="406"/>
      <c r="H135" s="406"/>
    </row>
    <row r="136" spans="1:8" x14ac:dyDescent="0.3">
      <c r="A136" s="407"/>
      <c r="B136" s="391"/>
      <c r="C136" s="391"/>
      <c r="D136" s="334"/>
      <c r="E136" s="391"/>
      <c r="F136" s="406"/>
      <c r="G136" s="406"/>
      <c r="H136" s="406"/>
    </row>
    <row r="137" spans="1:8" x14ac:dyDescent="0.3">
      <c r="A137" s="407"/>
      <c r="B137" s="391"/>
      <c r="C137" s="391"/>
      <c r="D137" s="334"/>
      <c r="E137" s="391"/>
      <c r="F137" s="406"/>
      <c r="G137" s="406"/>
      <c r="H137" s="406"/>
    </row>
    <row r="138" spans="1:8" x14ac:dyDescent="0.3">
      <c r="A138" s="407"/>
      <c r="B138" s="391"/>
      <c r="C138" s="391"/>
      <c r="D138" s="334"/>
      <c r="E138" s="391"/>
      <c r="F138" s="406"/>
      <c r="G138" s="406"/>
      <c r="H138" s="406"/>
    </row>
    <row r="139" spans="1:8" x14ac:dyDescent="0.3">
      <c r="A139" s="407"/>
      <c r="B139" s="391"/>
      <c r="C139" s="391"/>
      <c r="D139" s="391"/>
      <c r="E139" s="392"/>
      <c r="F139" s="406"/>
      <c r="G139" s="406"/>
      <c r="H139" s="406"/>
    </row>
    <row r="140" spans="1:8" x14ac:dyDescent="0.3">
      <c r="A140" s="407"/>
      <c r="B140" s="391"/>
      <c r="C140" s="391"/>
      <c r="D140" s="391"/>
      <c r="E140" s="392"/>
      <c r="F140" s="406"/>
      <c r="G140" s="406"/>
      <c r="H140" s="406"/>
    </row>
    <row r="141" spans="1:8" x14ac:dyDescent="0.3">
      <c r="A141" s="407"/>
      <c r="B141" s="407"/>
      <c r="C141" s="407"/>
      <c r="D141" s="407"/>
      <c r="E141" s="407"/>
      <c r="F141" s="406"/>
      <c r="G141" s="406"/>
      <c r="H141" s="406"/>
    </row>
    <row r="142" spans="1:8" x14ac:dyDescent="0.3">
      <c r="A142" s="407"/>
      <c r="B142" s="407"/>
      <c r="C142" s="407"/>
      <c r="D142" s="407"/>
      <c r="E142" s="407"/>
      <c r="F142" s="406"/>
      <c r="G142" s="406"/>
      <c r="H142" s="406"/>
    </row>
    <row r="143" spans="1:8" x14ac:dyDescent="0.3">
      <c r="A143" s="345"/>
      <c r="B143" s="343"/>
      <c r="C143" s="343"/>
      <c r="D143" s="343"/>
      <c r="E143" s="343"/>
      <c r="F143" s="406"/>
      <c r="G143" s="406"/>
      <c r="H143" s="406"/>
    </row>
    <row r="144" spans="1:8" x14ac:dyDescent="0.3">
      <c r="A144" s="406"/>
      <c r="B144" s="406"/>
      <c r="C144" s="406"/>
      <c r="D144" s="406"/>
      <c r="E144" s="406"/>
      <c r="F144" s="406"/>
      <c r="G144" s="406"/>
      <c r="H144" s="406"/>
    </row>
    <row r="145" spans="1:8" x14ac:dyDescent="0.3">
      <c r="A145" s="345"/>
      <c r="B145" s="405"/>
      <c r="C145" s="406"/>
      <c r="D145" s="406"/>
      <c r="E145" s="406"/>
      <c r="F145" s="406"/>
      <c r="G145" s="406"/>
      <c r="H145" s="406"/>
    </row>
    <row r="146" spans="1:8" x14ac:dyDescent="0.3">
      <c r="A146" s="407"/>
      <c r="B146" s="370"/>
      <c r="C146" s="406"/>
      <c r="D146" s="406"/>
      <c r="E146" s="406"/>
      <c r="F146" s="406"/>
      <c r="G146" s="406"/>
      <c r="H146" s="406"/>
    </row>
    <row r="147" spans="1:8" x14ac:dyDescent="0.3">
      <c r="A147" s="407"/>
      <c r="B147" s="370"/>
      <c r="C147" s="406"/>
      <c r="D147" s="406"/>
      <c r="E147" s="406"/>
      <c r="F147" s="406"/>
      <c r="G147" s="406"/>
      <c r="H147" s="406"/>
    </row>
    <row r="148" spans="1:8" x14ac:dyDescent="0.3">
      <c r="A148" s="407"/>
      <c r="B148" s="370"/>
      <c r="C148" s="406"/>
      <c r="D148" s="406"/>
      <c r="E148" s="406"/>
      <c r="F148" s="406"/>
      <c r="G148" s="406"/>
      <c r="H148" s="406"/>
    </row>
    <row r="149" spans="1:8" x14ac:dyDescent="0.3">
      <c r="A149" s="407"/>
      <c r="B149" s="370"/>
      <c r="C149" s="406"/>
      <c r="D149" s="406"/>
      <c r="E149" s="406"/>
      <c r="F149" s="406"/>
      <c r="G149" s="406"/>
      <c r="H149" s="406"/>
    </row>
    <row r="150" spans="1:8" x14ac:dyDescent="0.3">
      <c r="A150" s="407"/>
      <c r="B150" s="370"/>
      <c r="C150" s="406"/>
      <c r="D150" s="406"/>
      <c r="E150" s="406"/>
      <c r="F150" s="406"/>
      <c r="G150" s="406"/>
      <c r="H150" s="406"/>
    </row>
    <row r="151" spans="1:8" x14ac:dyDescent="0.3">
      <c r="A151" s="407"/>
      <c r="B151" s="370"/>
      <c r="C151" s="406"/>
      <c r="D151" s="406"/>
      <c r="E151" s="406"/>
      <c r="F151" s="406"/>
      <c r="G151" s="406"/>
      <c r="H151" s="406"/>
    </row>
    <row r="152" spans="1:8" x14ac:dyDescent="0.3">
      <c r="A152" s="407"/>
      <c r="B152" s="370"/>
      <c r="C152" s="406"/>
      <c r="D152" s="406"/>
      <c r="E152" s="406"/>
      <c r="F152" s="406"/>
      <c r="G152" s="406"/>
      <c r="H152" s="406"/>
    </row>
    <row r="153" spans="1:8" x14ac:dyDescent="0.3">
      <c r="A153" s="407"/>
      <c r="B153" s="370"/>
      <c r="C153" s="406"/>
      <c r="D153" s="406"/>
      <c r="E153" s="406"/>
      <c r="F153" s="406"/>
      <c r="G153" s="406"/>
      <c r="H153" s="406"/>
    </row>
    <row r="154" spans="1:8" x14ac:dyDescent="0.3">
      <c r="A154" s="407"/>
      <c r="B154" s="341"/>
      <c r="C154" s="406"/>
      <c r="D154" s="406"/>
      <c r="E154" s="406"/>
      <c r="F154" s="406"/>
      <c r="G154" s="406"/>
      <c r="H154" s="406"/>
    </row>
    <row r="155" spans="1:8" x14ac:dyDescent="0.3">
      <c r="A155" s="345"/>
      <c r="B155" s="405"/>
      <c r="C155" s="406"/>
      <c r="D155" s="406"/>
      <c r="E155" s="406"/>
      <c r="F155" s="406"/>
      <c r="G155" s="406"/>
      <c r="H155" s="406"/>
    </row>
    <row r="156" spans="1:8" x14ac:dyDescent="0.3">
      <c r="A156" s="369"/>
      <c r="B156" s="336"/>
      <c r="C156" s="406"/>
      <c r="D156" s="406"/>
      <c r="E156" s="406"/>
      <c r="F156" s="406"/>
      <c r="G156" s="406"/>
      <c r="H156" s="406"/>
    </row>
    <row r="157" spans="1:8" x14ac:dyDescent="0.3">
      <c r="A157" s="406"/>
      <c r="B157" s="365"/>
      <c r="C157" s="406"/>
      <c r="D157" s="406"/>
      <c r="E157" s="406"/>
      <c r="F157" s="406"/>
      <c r="G157" s="406"/>
      <c r="H157" s="406"/>
    </row>
    <row r="158" spans="1:8" x14ac:dyDescent="0.3">
      <c r="A158" s="345"/>
      <c r="B158" s="405"/>
      <c r="C158" s="406"/>
      <c r="D158" s="406"/>
      <c r="E158" s="406"/>
      <c r="F158" s="406"/>
      <c r="G158" s="406"/>
      <c r="H158" s="406"/>
    </row>
    <row r="159" spans="1:8" x14ac:dyDescent="0.3">
      <c r="A159" s="407"/>
      <c r="B159" s="338"/>
      <c r="C159" s="406"/>
      <c r="D159" s="406"/>
      <c r="E159" s="406"/>
      <c r="F159" s="406"/>
      <c r="G159" s="406"/>
      <c r="H159" s="406"/>
    </row>
    <row r="160" spans="1:8" x14ac:dyDescent="0.3">
      <c r="A160" s="407"/>
      <c r="B160" s="338"/>
      <c r="C160" s="406"/>
      <c r="D160" s="406"/>
      <c r="E160" s="406"/>
      <c r="F160" s="406"/>
      <c r="G160" s="406"/>
      <c r="H160" s="406"/>
    </row>
    <row r="161" spans="1:8" x14ac:dyDescent="0.3">
      <c r="A161" s="407"/>
      <c r="B161" s="338"/>
      <c r="C161" s="406"/>
      <c r="D161" s="406"/>
      <c r="E161" s="406"/>
      <c r="F161" s="406"/>
      <c r="G161" s="406"/>
      <c r="H161" s="406"/>
    </row>
    <row r="162" spans="1:8" x14ac:dyDescent="0.3">
      <c r="A162" s="407"/>
      <c r="B162" s="338"/>
      <c r="C162" s="406"/>
      <c r="D162" s="406"/>
      <c r="E162" s="406"/>
      <c r="F162" s="406"/>
      <c r="G162" s="406"/>
      <c r="H162" s="406"/>
    </row>
    <row r="163" spans="1:8" x14ac:dyDescent="0.3">
      <c r="A163" s="407"/>
      <c r="B163" s="338"/>
      <c r="C163" s="406"/>
      <c r="D163" s="406"/>
      <c r="E163" s="406"/>
      <c r="F163" s="406"/>
      <c r="G163" s="406"/>
      <c r="H163" s="406"/>
    </row>
    <row r="164" spans="1:8" x14ac:dyDescent="0.3">
      <c r="A164" s="407"/>
      <c r="B164" s="338"/>
      <c r="C164" s="406"/>
      <c r="D164" s="406"/>
      <c r="E164" s="406"/>
      <c r="F164" s="406"/>
      <c r="G164" s="406"/>
      <c r="H164" s="406"/>
    </row>
    <row r="165" spans="1:8" x14ac:dyDescent="0.3">
      <c r="A165" s="407"/>
      <c r="B165" s="341"/>
      <c r="C165" s="406"/>
      <c r="D165" s="406"/>
      <c r="E165" s="406"/>
      <c r="F165" s="406"/>
      <c r="G165" s="406"/>
      <c r="H165" s="406"/>
    </row>
    <row r="166" spans="1:8" x14ac:dyDescent="0.3">
      <c r="A166" s="345"/>
      <c r="B166" s="377"/>
      <c r="C166" s="406"/>
      <c r="D166" s="406"/>
      <c r="E166" s="406"/>
      <c r="F166" s="406"/>
      <c r="G166" s="406"/>
      <c r="H166" s="406"/>
    </row>
    <row r="167" spans="1:8" x14ac:dyDescent="0.3">
      <c r="A167" s="406"/>
      <c r="B167" s="406"/>
      <c r="C167" s="406"/>
      <c r="D167" s="406"/>
      <c r="E167" s="406"/>
      <c r="F167" s="406"/>
      <c r="G167" s="406"/>
      <c r="H167" s="406"/>
    </row>
    <row r="168" spans="1:8" x14ac:dyDescent="0.3">
      <c r="A168" s="406"/>
      <c r="B168" s="406"/>
      <c r="C168" s="406"/>
      <c r="D168" s="406"/>
      <c r="E168" s="406"/>
      <c r="F168" s="406"/>
      <c r="G168" s="406"/>
      <c r="H168" s="406"/>
    </row>
    <row r="169" spans="1:8" x14ac:dyDescent="0.3">
      <c r="A169" s="406"/>
      <c r="B169" s="406"/>
      <c r="C169" s="406"/>
      <c r="D169" s="406"/>
      <c r="E169" s="406"/>
      <c r="F169" s="406"/>
      <c r="G169" s="406"/>
      <c r="H169" s="406"/>
    </row>
    <row r="170" spans="1:8" x14ac:dyDescent="0.3">
      <c r="A170" s="406"/>
      <c r="B170" s="406"/>
      <c r="C170" s="406"/>
      <c r="D170" s="406"/>
      <c r="E170" s="406"/>
      <c r="F170" s="406"/>
      <c r="G170" s="406"/>
      <c r="H170" s="406"/>
    </row>
    <row r="171" spans="1:8" x14ac:dyDescent="0.3">
      <c r="A171" s="406"/>
      <c r="B171" s="406"/>
      <c r="C171" s="406"/>
      <c r="D171" s="406"/>
      <c r="E171" s="406"/>
      <c r="F171" s="406"/>
      <c r="G171" s="406"/>
      <c r="H171" s="406"/>
    </row>
    <row r="172" spans="1:8" x14ac:dyDescent="0.3">
      <c r="A172" s="406"/>
      <c r="B172" s="406"/>
      <c r="C172" s="406"/>
      <c r="D172" s="406"/>
      <c r="E172" s="406"/>
      <c r="F172" s="406"/>
      <c r="G172" s="406"/>
      <c r="H172" s="406"/>
    </row>
    <row r="173" spans="1:8" x14ac:dyDescent="0.3">
      <c r="A173" s="406"/>
      <c r="B173" s="406"/>
      <c r="C173" s="406"/>
      <c r="D173" s="406"/>
      <c r="E173" s="406"/>
      <c r="F173" s="406"/>
      <c r="G173" s="406"/>
      <c r="H173" s="406"/>
    </row>
    <row r="174" spans="1:8" x14ac:dyDescent="0.3">
      <c r="A174" s="406"/>
      <c r="B174" s="406"/>
      <c r="C174" s="406"/>
      <c r="D174" s="406"/>
      <c r="E174" s="406"/>
      <c r="F174" s="406"/>
      <c r="G174" s="406"/>
      <c r="H174" s="406"/>
    </row>
    <row r="175" spans="1:8" x14ac:dyDescent="0.3">
      <c r="A175" s="406"/>
      <c r="B175" s="406"/>
      <c r="C175" s="406"/>
      <c r="D175" s="406"/>
      <c r="E175" s="406"/>
      <c r="F175" s="406"/>
      <c r="G175" s="406"/>
      <c r="H175" s="406"/>
    </row>
    <row r="176" spans="1:8" x14ac:dyDescent="0.3">
      <c r="A176" s="406"/>
      <c r="B176" s="406"/>
      <c r="C176" s="406"/>
      <c r="D176" s="406"/>
      <c r="E176" s="406"/>
      <c r="F176" s="406"/>
      <c r="G176" s="406"/>
      <c r="H176" s="406"/>
    </row>
    <row r="177" spans="1:8" x14ac:dyDescent="0.3">
      <c r="A177" s="406"/>
      <c r="B177" s="406"/>
      <c r="C177" s="406"/>
      <c r="D177" s="406"/>
      <c r="E177" s="406"/>
      <c r="F177" s="406"/>
      <c r="G177" s="406"/>
      <c r="H177" s="406"/>
    </row>
    <row r="178" spans="1:8" x14ac:dyDescent="0.3">
      <c r="A178" s="406"/>
      <c r="B178" s="406"/>
      <c r="C178" s="406"/>
      <c r="D178" s="406"/>
      <c r="E178" s="406"/>
      <c r="F178" s="406"/>
      <c r="G178" s="406"/>
      <c r="H178" s="406"/>
    </row>
    <row r="179" spans="1:8" x14ac:dyDescent="0.3">
      <c r="A179" s="406"/>
      <c r="B179" s="406"/>
      <c r="C179" s="406"/>
      <c r="D179" s="406"/>
      <c r="E179" s="406"/>
      <c r="F179" s="406"/>
      <c r="G179" s="406"/>
      <c r="H179" s="406"/>
    </row>
    <row r="180" spans="1:8" x14ac:dyDescent="0.3">
      <c r="A180" s="406"/>
      <c r="B180" s="406"/>
      <c r="C180" s="406"/>
      <c r="D180" s="406"/>
      <c r="E180" s="406"/>
      <c r="F180" s="406"/>
      <c r="G180" s="406"/>
      <c r="H180" s="406"/>
    </row>
  </sheetData>
  <sortState ref="A44:A47">
    <sortCondition descending="1" ref="A47"/>
  </sortState>
  <mergeCells count="13">
    <mergeCell ref="A5:A6"/>
    <mergeCell ref="F77:G77"/>
    <mergeCell ref="A77:A78"/>
    <mergeCell ref="F90:G90"/>
    <mergeCell ref="B90:C90"/>
    <mergeCell ref="D90:E90"/>
    <mergeCell ref="A50:A51"/>
    <mergeCell ref="A63:A64"/>
    <mergeCell ref="B77:C77"/>
    <mergeCell ref="D77:E77"/>
    <mergeCell ref="F35:G35"/>
    <mergeCell ref="B35:C35"/>
    <mergeCell ref="D35:E35"/>
  </mergeCells>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O89"/>
  <sheetViews>
    <sheetView topLeftCell="A32" zoomScale="70" zoomScaleNormal="70" zoomScalePageLayoutView="70" workbookViewId="0">
      <selection activeCell="A61" sqref="A61:I65"/>
    </sheetView>
  </sheetViews>
  <sheetFormatPr defaultColWidth="8.88671875" defaultRowHeight="14.4" x14ac:dyDescent="0.3"/>
  <cols>
    <col min="1" max="1" width="8.6640625" customWidth="1"/>
    <col min="2" max="2" width="7.88671875" customWidth="1"/>
    <col min="3" max="3" width="35.33203125" customWidth="1"/>
    <col min="4" max="4" width="13.109375" customWidth="1"/>
    <col min="5" max="5" width="19.44140625" customWidth="1"/>
    <col min="6" max="6" width="17.44140625" customWidth="1"/>
    <col min="7" max="7" width="16.44140625" bestFit="1" customWidth="1"/>
    <col min="8" max="8" width="18.109375" bestFit="1" customWidth="1"/>
    <col min="9" max="9" width="17.6640625" bestFit="1" customWidth="1"/>
    <col min="10" max="10" width="16.33203125" customWidth="1"/>
    <col min="11" max="11" width="15" customWidth="1"/>
    <col min="12" max="12" width="18.6640625" customWidth="1"/>
    <col min="13" max="13" width="17.33203125" customWidth="1"/>
    <col min="14" max="14" width="18.88671875" customWidth="1"/>
    <col min="15" max="15" width="14.44140625" customWidth="1"/>
    <col min="17" max="17" width="11.109375" customWidth="1"/>
    <col min="18" max="18" width="12.33203125" customWidth="1"/>
    <col min="19" max="19" width="10.44140625" customWidth="1"/>
    <col min="20" max="20" width="12.44140625" bestFit="1" customWidth="1"/>
    <col min="21" max="21" width="12" bestFit="1" customWidth="1"/>
  </cols>
  <sheetData>
    <row r="1" spans="1:15" s="10" customFormat="1" ht="15" x14ac:dyDescent="0.25">
      <c r="A1" s="439" t="s">
        <v>364</v>
      </c>
      <c r="C1" s="37"/>
      <c r="D1" s="37"/>
      <c r="E1" s="37"/>
      <c r="J1" s="470"/>
      <c r="K1" s="470"/>
      <c r="L1" s="470"/>
      <c r="M1" s="470"/>
      <c r="N1" s="470"/>
      <c r="O1" s="470"/>
    </row>
    <row r="2" spans="1:15" s="10" customFormat="1" ht="15" x14ac:dyDescent="0.25">
      <c r="A2" s="11"/>
      <c r="C2" s="37"/>
      <c r="D2" s="37"/>
      <c r="E2" s="79"/>
      <c r="F2" s="412"/>
      <c r="G2" s="412"/>
      <c r="H2" s="412"/>
      <c r="J2" s="470"/>
      <c r="K2" s="470"/>
      <c r="L2" s="470"/>
      <c r="M2" s="470"/>
      <c r="N2" s="470"/>
      <c r="O2" s="470"/>
    </row>
    <row r="3" spans="1:15" ht="15" x14ac:dyDescent="0.25">
      <c r="A3" s="183" t="s">
        <v>110</v>
      </c>
      <c r="C3" s="37"/>
      <c r="D3" s="37"/>
      <c r="E3" s="412"/>
      <c r="J3" s="470"/>
      <c r="K3" s="470"/>
      <c r="L3" s="470"/>
      <c r="M3" s="470"/>
      <c r="N3" s="470"/>
      <c r="O3" s="470"/>
    </row>
    <row r="4" spans="1:15" s="37" customFormat="1" ht="15" x14ac:dyDescent="0.25">
      <c r="B4" s="38"/>
      <c r="E4" s="185" t="s">
        <v>85</v>
      </c>
      <c r="F4" s="185" t="s">
        <v>107</v>
      </c>
      <c r="G4" s="185" t="s">
        <v>109</v>
      </c>
      <c r="H4" s="185" t="s">
        <v>108</v>
      </c>
      <c r="J4" s="470"/>
      <c r="K4" s="472"/>
      <c r="L4" s="472"/>
      <c r="M4" s="472"/>
      <c r="N4" s="472"/>
      <c r="O4" s="471"/>
    </row>
    <row r="5" spans="1:15" s="37" customFormat="1" ht="15" x14ac:dyDescent="0.25">
      <c r="B5" s="38" t="s">
        <v>101</v>
      </c>
      <c r="C5" s="37" t="s">
        <v>3</v>
      </c>
      <c r="E5" s="173">
        <f>F20</f>
        <v>315000</v>
      </c>
      <c r="F5" s="173">
        <f>G20</f>
        <v>430000</v>
      </c>
      <c r="G5" s="173">
        <f>H20</f>
        <v>430000</v>
      </c>
      <c r="H5" s="173">
        <f>H20</f>
        <v>430000</v>
      </c>
      <c r="J5" s="470"/>
      <c r="K5" s="473"/>
      <c r="L5" s="473"/>
      <c r="M5" s="473"/>
      <c r="N5" s="473"/>
      <c r="O5" s="470"/>
    </row>
    <row r="6" spans="1:15" s="37" customFormat="1" ht="15" x14ac:dyDescent="0.25">
      <c r="B6" s="38" t="s">
        <v>102</v>
      </c>
      <c r="C6" s="37" t="s">
        <v>5</v>
      </c>
      <c r="E6" s="173">
        <f>F36</f>
        <v>1631000</v>
      </c>
      <c r="F6" s="173">
        <f>G36</f>
        <v>2566000</v>
      </c>
      <c r="G6" s="173">
        <f>H36</f>
        <v>3348500</v>
      </c>
      <c r="H6" s="173">
        <f>H36</f>
        <v>3348500</v>
      </c>
      <c r="J6" s="470"/>
      <c r="K6" s="470"/>
      <c r="L6" s="470"/>
      <c r="M6" s="470"/>
      <c r="N6" s="470"/>
      <c r="O6" s="470"/>
    </row>
    <row r="7" spans="1:15" s="37" customFormat="1" ht="15" x14ac:dyDescent="0.25">
      <c r="B7" s="38" t="s">
        <v>103</v>
      </c>
      <c r="C7" s="37" t="s">
        <v>7</v>
      </c>
      <c r="E7" s="173">
        <f>F52</f>
        <v>855000</v>
      </c>
      <c r="F7" s="173">
        <f>G52</f>
        <v>14577500</v>
      </c>
      <c r="G7" s="173">
        <f>H52</f>
        <v>17427500</v>
      </c>
      <c r="H7" s="173">
        <f>H52</f>
        <v>17427500</v>
      </c>
      <c r="J7" s="470"/>
      <c r="K7" s="470"/>
      <c r="L7" s="470"/>
      <c r="M7" s="470"/>
      <c r="N7" s="470"/>
      <c r="O7" s="470"/>
    </row>
    <row r="8" spans="1:15" ht="15" x14ac:dyDescent="0.25">
      <c r="A8" s="11"/>
      <c r="B8" s="38" t="s">
        <v>104</v>
      </c>
      <c r="C8" s="37" t="s">
        <v>8</v>
      </c>
      <c r="D8" s="10"/>
      <c r="E8" s="173">
        <f>F58</f>
        <v>1100000</v>
      </c>
      <c r="F8" s="173">
        <f>G58</f>
        <v>1700000</v>
      </c>
      <c r="G8" s="173">
        <f>H58</f>
        <v>1925000</v>
      </c>
      <c r="H8" s="173">
        <f>H58</f>
        <v>1925000</v>
      </c>
      <c r="J8" s="470"/>
      <c r="K8" s="470"/>
      <c r="L8" s="470"/>
      <c r="M8" s="470"/>
      <c r="N8" s="470"/>
      <c r="O8" s="470"/>
    </row>
    <row r="9" spans="1:15" s="37" customFormat="1" ht="15" x14ac:dyDescent="0.25">
      <c r="A9" s="42"/>
      <c r="B9" s="38" t="s">
        <v>4</v>
      </c>
      <c r="C9" s="37" t="s">
        <v>105</v>
      </c>
      <c r="E9" s="198">
        <f>F65</f>
        <v>193963</v>
      </c>
      <c r="F9" s="198">
        <f t="shared" ref="F9:H9" si="0">G65</f>
        <v>294061</v>
      </c>
      <c r="G9" s="198">
        <f t="shared" si="0"/>
        <v>294061</v>
      </c>
      <c r="H9" s="198">
        <f t="shared" si="0"/>
        <v>294061</v>
      </c>
    </row>
    <row r="10" spans="1:15" s="37" customFormat="1" ht="15" x14ac:dyDescent="0.25">
      <c r="A10" s="42"/>
      <c r="B10" s="38" t="s">
        <v>6</v>
      </c>
      <c r="C10" s="37" t="s">
        <v>144</v>
      </c>
      <c r="E10" s="198">
        <f>F71</f>
        <v>1110066.9153682597</v>
      </c>
      <c r="F10" s="198">
        <f t="shared" ref="F10:H10" si="1">G71</f>
        <v>3422508.5924036456</v>
      </c>
      <c r="G10" s="198">
        <f t="shared" si="1"/>
        <v>7962003.7993675163</v>
      </c>
      <c r="H10" s="198">
        <f t="shared" si="1"/>
        <v>7432369.7449792493</v>
      </c>
    </row>
    <row r="11" spans="1:15" s="489" customFormat="1" ht="15" x14ac:dyDescent="0.25">
      <c r="A11" s="439"/>
      <c r="B11" s="395"/>
      <c r="E11" s="413"/>
      <c r="F11" s="413"/>
      <c r="G11" s="413"/>
      <c r="H11" s="413"/>
    </row>
    <row r="12" spans="1:15" s="37" customFormat="1" ht="15" x14ac:dyDescent="0.25">
      <c r="A12" s="42"/>
      <c r="B12" s="38"/>
      <c r="C12" s="298" t="s">
        <v>81</v>
      </c>
      <c r="D12" s="298"/>
      <c r="E12" s="528">
        <f>SUM(E5:E10)</f>
        <v>5205029.9153682599</v>
      </c>
      <c r="F12" s="528">
        <f t="shared" ref="F12:H12" si="2">SUM(F5:F10)</f>
        <v>22990069.592403647</v>
      </c>
      <c r="G12" s="528">
        <f t="shared" si="2"/>
        <v>31387064.799367517</v>
      </c>
      <c r="H12" s="528">
        <f t="shared" si="2"/>
        <v>30857430.744979247</v>
      </c>
      <c r="I12" s="299"/>
      <c r="J12" s="37">
        <v>500</v>
      </c>
    </row>
    <row r="13" spans="1:15" s="37" customFormat="1" ht="15" x14ac:dyDescent="0.25">
      <c r="A13" s="42"/>
      <c r="B13" s="38"/>
      <c r="E13" s="299"/>
      <c r="F13" s="299"/>
      <c r="G13" s="299"/>
      <c r="H13" s="299"/>
      <c r="I13" s="299"/>
      <c r="J13" s="37">
        <v>1150</v>
      </c>
    </row>
    <row r="14" spans="1:15" s="59" customFormat="1" ht="15" x14ac:dyDescent="0.25">
      <c r="A14" s="59" t="s">
        <v>101</v>
      </c>
      <c r="B14" s="71" t="s">
        <v>117</v>
      </c>
      <c r="E14" s="80"/>
      <c r="F14" s="199" t="s">
        <v>98</v>
      </c>
      <c r="G14" s="199" t="s">
        <v>88</v>
      </c>
      <c r="H14" s="199" t="s">
        <v>188</v>
      </c>
      <c r="I14" s="80"/>
      <c r="J14" s="59">
        <f>AVERAGE(J12,J13)</f>
        <v>825</v>
      </c>
    </row>
    <row r="15" spans="1:15" s="37" customFormat="1" ht="15" x14ac:dyDescent="0.25">
      <c r="A15" s="42"/>
      <c r="B15" s="52"/>
      <c r="C15" s="54" t="s">
        <v>245</v>
      </c>
      <c r="D15" s="48"/>
      <c r="E15" s="302"/>
      <c r="F15" s="366">
        <v>90000</v>
      </c>
      <c r="G15" s="200">
        <f>F15</f>
        <v>90000</v>
      </c>
      <c r="H15" s="200">
        <f>F15</f>
        <v>90000</v>
      </c>
      <c r="I15" s="299"/>
    </row>
    <row r="16" spans="1:15" s="37" customFormat="1" ht="15" x14ac:dyDescent="0.25">
      <c r="A16" s="42"/>
      <c r="B16" s="52"/>
      <c r="C16" s="55" t="s">
        <v>118</v>
      </c>
      <c r="D16" s="48"/>
      <c r="E16" s="302"/>
      <c r="F16" s="366">
        <v>75000</v>
      </c>
      <c r="G16" s="200">
        <f>F16+10000</f>
        <v>85000</v>
      </c>
      <c r="H16" s="200">
        <f>F16+10000</f>
        <v>85000</v>
      </c>
      <c r="I16" s="299"/>
    </row>
    <row r="17" spans="1:10" s="37" customFormat="1" ht="15" x14ac:dyDescent="0.25">
      <c r="A17" s="42"/>
      <c r="B17" s="52"/>
      <c r="C17" s="55" t="s">
        <v>119</v>
      </c>
      <c r="D17" s="48"/>
      <c r="E17" s="302"/>
      <c r="F17" s="366">
        <v>65000</v>
      </c>
      <c r="G17" s="200">
        <f>F17+65000</f>
        <v>130000</v>
      </c>
      <c r="H17" s="200">
        <f>F17+65000</f>
        <v>130000</v>
      </c>
      <c r="I17" s="299"/>
    </row>
    <row r="18" spans="1:10" s="37" customFormat="1" ht="15" x14ac:dyDescent="0.25">
      <c r="A18" s="42"/>
      <c r="B18" s="52"/>
      <c r="C18" s="55" t="s">
        <v>120</v>
      </c>
      <c r="D18" s="48"/>
      <c r="E18" s="302"/>
      <c r="F18" s="366">
        <v>85000</v>
      </c>
      <c r="G18" s="200">
        <f>F18+40000</f>
        <v>125000</v>
      </c>
      <c r="H18" s="200">
        <f>F18+40000</f>
        <v>125000</v>
      </c>
      <c r="I18" s="299"/>
    </row>
    <row r="19" spans="1:10" s="70" customFormat="1" ht="15" x14ac:dyDescent="0.25">
      <c r="A19" s="59"/>
      <c r="B19" s="52"/>
      <c r="C19" s="55"/>
      <c r="D19" s="48"/>
      <c r="E19" s="302"/>
      <c r="F19" s="200"/>
      <c r="G19" s="200"/>
      <c r="H19" s="200"/>
      <c r="I19" s="299"/>
      <c r="J19" s="70">
        <f>965*30</f>
        <v>28950</v>
      </c>
    </row>
    <row r="20" spans="1:10" s="60" customFormat="1" ht="15" x14ac:dyDescent="0.25">
      <c r="B20" s="52"/>
      <c r="C20" s="94" t="s">
        <v>84</v>
      </c>
      <c r="D20" s="24"/>
      <c r="E20" s="102"/>
      <c r="F20" s="201">
        <f>SUM(F15:F18)</f>
        <v>315000</v>
      </c>
      <c r="G20" s="201">
        <f t="shared" ref="G20:H20" si="3">SUM(G15:G18)</f>
        <v>430000</v>
      </c>
      <c r="H20" s="201">
        <f t="shared" si="3"/>
        <v>430000</v>
      </c>
      <c r="I20" s="77"/>
    </row>
    <row r="21" spans="1:10" s="70" customFormat="1" ht="15" x14ac:dyDescent="0.25">
      <c r="A21" s="59"/>
      <c r="B21" s="52"/>
      <c r="C21" s="54"/>
      <c r="D21" s="48"/>
      <c r="E21" s="302"/>
      <c r="F21" s="303"/>
      <c r="G21" s="293"/>
      <c r="H21" s="296"/>
      <c r="I21" s="299"/>
    </row>
    <row r="22" spans="1:10" s="59" customFormat="1" ht="15" x14ac:dyDescent="0.25">
      <c r="A22" s="59" t="s">
        <v>102</v>
      </c>
      <c r="B22" s="169" t="s">
        <v>5</v>
      </c>
      <c r="C22" s="170"/>
      <c r="D22" s="31"/>
      <c r="E22" s="295"/>
      <c r="F22" s="199" t="s">
        <v>98</v>
      </c>
      <c r="G22" s="199" t="s">
        <v>88</v>
      </c>
      <c r="H22" s="199" t="s">
        <v>188</v>
      </c>
      <c r="I22" s="80"/>
    </row>
    <row r="23" spans="1:10" s="439" customFormat="1" ht="15" x14ac:dyDescent="0.25">
      <c r="B23" s="169"/>
      <c r="C23" s="54" t="s">
        <v>246</v>
      </c>
      <c r="D23" s="31"/>
      <c r="E23" s="471"/>
      <c r="F23" s="366">
        <v>0</v>
      </c>
      <c r="G23" s="366">
        <v>140000</v>
      </c>
      <c r="H23" s="366">
        <v>140000</v>
      </c>
      <c r="I23" s="80"/>
    </row>
    <row r="24" spans="1:10" s="37" customFormat="1" ht="15" x14ac:dyDescent="0.25">
      <c r="A24" s="42"/>
      <c r="B24" s="52"/>
      <c r="C24" s="55" t="s">
        <v>236</v>
      </c>
      <c r="D24" s="48"/>
      <c r="E24" s="302"/>
      <c r="F24" s="200">
        <v>110000</v>
      </c>
      <c r="G24" s="200">
        <f>F24+40000</f>
        <v>150000</v>
      </c>
      <c r="H24" s="200">
        <f>F24+200000</f>
        <v>310000</v>
      </c>
      <c r="I24" s="299"/>
    </row>
    <row r="25" spans="1:10" s="70" customFormat="1" ht="15" x14ac:dyDescent="0.25">
      <c r="A25" s="59"/>
      <c r="B25" s="52"/>
      <c r="C25" s="55" t="s">
        <v>237</v>
      </c>
      <c r="D25" s="48"/>
      <c r="E25" s="302"/>
      <c r="F25" s="200">
        <v>552500</v>
      </c>
      <c r="G25" s="366">
        <f>F25+65000</f>
        <v>617500</v>
      </c>
      <c r="H25" s="366">
        <f>F25+185000</f>
        <v>737500</v>
      </c>
      <c r="I25" s="299"/>
    </row>
    <row r="26" spans="1:10" s="37" customFormat="1" ht="15" x14ac:dyDescent="0.25">
      <c r="A26" s="42"/>
      <c r="B26" s="52"/>
      <c r="C26" s="55" t="s">
        <v>121</v>
      </c>
      <c r="D26" s="48"/>
      <c r="E26" s="302"/>
      <c r="F26" s="200">
        <v>617000</v>
      </c>
      <c r="G26" s="366">
        <f>F26+65000</f>
        <v>682000</v>
      </c>
      <c r="H26" s="366">
        <f>F26+310000</f>
        <v>927000</v>
      </c>
      <c r="I26" s="299"/>
    </row>
    <row r="27" spans="1:10" s="37" customFormat="1" ht="15" x14ac:dyDescent="0.25">
      <c r="A27" s="42"/>
      <c r="B27" s="52"/>
      <c r="C27" s="475" t="s">
        <v>238</v>
      </c>
      <c r="D27" s="48"/>
      <c r="E27" s="302"/>
      <c r="F27" s="200">
        <v>93500</v>
      </c>
      <c r="G27" s="200">
        <f>F27+30000</f>
        <v>123500</v>
      </c>
      <c r="H27" s="200">
        <f>F27+30000</f>
        <v>123500</v>
      </c>
      <c r="I27" s="299"/>
    </row>
    <row r="28" spans="1:10" s="37" customFormat="1" ht="15" x14ac:dyDescent="0.25">
      <c r="A28" s="42"/>
      <c r="B28" s="52"/>
      <c r="C28" s="55" t="s">
        <v>239</v>
      </c>
      <c r="D28" s="48"/>
      <c r="E28" s="302"/>
      <c r="F28" s="200">
        <v>23500</v>
      </c>
      <c r="G28" s="200">
        <f>F28+65000</f>
        <v>88500</v>
      </c>
      <c r="H28" s="200">
        <f>F28+65000</f>
        <v>88500</v>
      </c>
      <c r="I28" s="299"/>
    </row>
    <row r="29" spans="1:10" s="37" customFormat="1" ht="15" x14ac:dyDescent="0.25">
      <c r="A29" s="42"/>
      <c r="B29" s="52"/>
      <c r="C29" s="55" t="s">
        <v>240</v>
      </c>
      <c r="D29" s="48"/>
      <c r="E29" s="302"/>
      <c r="F29" s="200">
        <v>47000</v>
      </c>
      <c r="G29" s="200">
        <f>F29+112500</f>
        <v>159500</v>
      </c>
      <c r="H29" s="200">
        <f>F29+160000</f>
        <v>207000</v>
      </c>
      <c r="I29" s="299"/>
    </row>
    <row r="30" spans="1:10" s="410" customFormat="1" ht="15" x14ac:dyDescent="0.25">
      <c r="A30" s="411"/>
      <c r="B30" s="387"/>
      <c r="C30" s="389" t="s">
        <v>122</v>
      </c>
      <c r="D30" s="385"/>
      <c r="E30" s="414"/>
      <c r="F30" s="366">
        <v>20000</v>
      </c>
      <c r="G30" s="366">
        <f>F30+40000</f>
        <v>60000</v>
      </c>
      <c r="H30" s="366">
        <f>F30+227500</f>
        <v>247500</v>
      </c>
      <c r="I30" s="415"/>
    </row>
    <row r="31" spans="1:10" s="37" customFormat="1" ht="15" x14ac:dyDescent="0.25">
      <c r="A31" s="42"/>
      <c r="B31" s="52"/>
      <c r="C31" s="55" t="s">
        <v>123</v>
      </c>
      <c r="D31" s="48"/>
      <c r="E31" s="302"/>
      <c r="F31" s="200">
        <v>105000</v>
      </c>
      <c r="G31" s="200">
        <f>F31+15000</f>
        <v>120000</v>
      </c>
      <c r="H31" s="200">
        <f>F31+22500</f>
        <v>127500</v>
      </c>
      <c r="I31" s="299"/>
    </row>
    <row r="32" spans="1:10" s="37" customFormat="1" ht="15" x14ac:dyDescent="0.25">
      <c r="A32" s="42"/>
      <c r="B32" s="52"/>
      <c r="C32" s="55" t="s">
        <v>124</v>
      </c>
      <c r="D32" s="48"/>
      <c r="E32" s="302"/>
      <c r="F32" s="200">
        <v>12500</v>
      </c>
      <c r="G32" s="200">
        <f>F32</f>
        <v>12500</v>
      </c>
      <c r="H32" s="200">
        <f>F32+15000</f>
        <v>27500</v>
      </c>
      <c r="I32" s="299"/>
    </row>
    <row r="33" spans="1:10" s="37" customFormat="1" ht="15" x14ac:dyDescent="0.25">
      <c r="A33" s="42"/>
      <c r="B33" s="52"/>
      <c r="C33" s="55" t="s">
        <v>125</v>
      </c>
      <c r="D33" s="48"/>
      <c r="E33" s="302"/>
      <c r="F33" s="200">
        <v>50000</v>
      </c>
      <c r="G33" s="200">
        <f>F33+250000</f>
        <v>300000</v>
      </c>
      <c r="H33" s="200">
        <f>F33+250000</f>
        <v>300000</v>
      </c>
      <c r="I33" s="299"/>
    </row>
    <row r="34" spans="1:10" s="625" customFormat="1" ht="15" x14ac:dyDescent="0.25">
      <c r="A34" s="611"/>
      <c r="B34" s="387"/>
      <c r="C34" s="389" t="s">
        <v>574</v>
      </c>
      <c r="D34" s="493"/>
      <c r="E34" s="414"/>
      <c r="F34" s="366">
        <v>0</v>
      </c>
      <c r="G34" s="366">
        <f>F34+112500</f>
        <v>112500</v>
      </c>
      <c r="H34" s="366">
        <f>F34+112500</f>
        <v>112500</v>
      </c>
      <c r="I34" s="491"/>
    </row>
    <row r="35" spans="1:10" s="70" customFormat="1" ht="15" x14ac:dyDescent="0.25">
      <c r="A35" s="59"/>
      <c r="B35" s="52"/>
      <c r="C35" s="55"/>
      <c r="D35" s="48"/>
      <c r="E35" s="302"/>
      <c r="F35" s="200"/>
      <c r="G35" s="200"/>
      <c r="H35" s="200"/>
      <c r="I35" s="299"/>
    </row>
    <row r="36" spans="1:10" s="60" customFormat="1" ht="15" x14ac:dyDescent="0.25">
      <c r="B36" s="52"/>
      <c r="C36" s="94" t="s">
        <v>84</v>
      </c>
      <c r="D36" s="24"/>
      <c r="E36" s="102"/>
      <c r="F36" s="201">
        <f>SUM(F23:F34)</f>
        <v>1631000</v>
      </c>
      <c r="G36" s="201">
        <f>SUM(G23:G34)</f>
        <v>2566000</v>
      </c>
      <c r="H36" s="201">
        <f>SUM(H23:H34)</f>
        <v>3348500</v>
      </c>
      <c r="I36" s="731"/>
      <c r="J36" s="731"/>
    </row>
    <row r="37" spans="1:10" s="37" customFormat="1" ht="15" x14ac:dyDescent="0.25">
      <c r="A37" s="42"/>
      <c r="B37" s="52"/>
      <c r="C37" s="54"/>
      <c r="D37" s="48"/>
      <c r="E37" s="302"/>
      <c r="F37" s="299"/>
      <c r="G37" s="299"/>
      <c r="H37" s="299"/>
      <c r="I37" s="299"/>
    </row>
    <row r="38" spans="1:10" s="37" customFormat="1" ht="15" x14ac:dyDescent="0.25">
      <c r="A38" s="42"/>
      <c r="B38" s="52"/>
      <c r="C38" s="54"/>
      <c r="D38" s="48"/>
      <c r="E38" s="302"/>
      <c r="F38" s="299"/>
      <c r="G38" s="302"/>
      <c r="H38" s="303"/>
      <c r="I38" s="299"/>
    </row>
    <row r="39" spans="1:10" s="59" customFormat="1" ht="15" x14ac:dyDescent="0.25">
      <c r="A39" s="59" t="s">
        <v>103</v>
      </c>
      <c r="B39" s="169" t="s">
        <v>126</v>
      </c>
      <c r="C39" s="170"/>
      <c r="D39" s="31"/>
      <c r="E39" s="295"/>
      <c r="F39" s="199" t="s">
        <v>98</v>
      </c>
      <c r="G39" s="199" t="s">
        <v>88</v>
      </c>
      <c r="H39" s="199" t="s">
        <v>188</v>
      </c>
      <c r="I39" s="737" t="s">
        <v>581</v>
      </c>
    </row>
    <row r="40" spans="1:10" s="37" customFormat="1" ht="15" x14ac:dyDescent="0.25">
      <c r="A40" s="42"/>
      <c r="B40" s="52"/>
      <c r="C40" s="55" t="s">
        <v>241</v>
      </c>
      <c r="D40" s="48"/>
      <c r="E40" s="302"/>
      <c r="F40" s="268">
        <v>362500</v>
      </c>
      <c r="G40" s="200">
        <f>F40+177500</f>
        <v>540000</v>
      </c>
      <c r="H40" s="200">
        <f>F40+315000</f>
        <v>677500</v>
      </c>
      <c r="I40" s="732" t="s">
        <v>577</v>
      </c>
    </row>
    <row r="41" spans="1:10" s="37" customFormat="1" ht="15" x14ac:dyDescent="0.25">
      <c r="A41" s="42"/>
      <c r="B41" s="52"/>
      <c r="C41" s="55" t="s">
        <v>242</v>
      </c>
      <c r="D41" s="48"/>
      <c r="E41" s="302"/>
      <c r="F41" s="268">
        <v>0</v>
      </c>
      <c r="G41" s="200">
        <f>F41+177500</f>
        <v>177500</v>
      </c>
      <c r="H41" s="200">
        <f>F41+315000</f>
        <v>315000</v>
      </c>
      <c r="I41" s="732" t="s">
        <v>577</v>
      </c>
    </row>
    <row r="42" spans="1:10" s="37" customFormat="1" ht="15" x14ac:dyDescent="0.25">
      <c r="A42" s="42"/>
      <c r="B42" s="52"/>
      <c r="C42" s="55" t="s">
        <v>238</v>
      </c>
      <c r="D42" s="48"/>
      <c r="E42" s="302"/>
      <c r="F42" s="268">
        <v>200000</v>
      </c>
      <c r="G42" s="200">
        <f>F42+90000</f>
        <v>290000</v>
      </c>
      <c r="H42" s="200">
        <f>F42+90000</f>
        <v>290000</v>
      </c>
      <c r="I42" s="732" t="s">
        <v>577</v>
      </c>
    </row>
    <row r="43" spans="1:10" s="37" customFormat="1" ht="15" x14ac:dyDescent="0.25">
      <c r="A43" s="42"/>
      <c r="B43" s="52"/>
      <c r="C43" s="55" t="s">
        <v>243</v>
      </c>
      <c r="D43" s="48"/>
      <c r="E43" s="302"/>
      <c r="F43" s="268">
        <v>225000</v>
      </c>
      <c r="G43" s="200">
        <f>F43+300000</f>
        <v>525000</v>
      </c>
      <c r="H43" s="200">
        <f>F43+375000</f>
        <v>600000</v>
      </c>
      <c r="I43" s="732" t="s">
        <v>577</v>
      </c>
    </row>
    <row r="44" spans="1:10" s="378" customFormat="1" ht="15" x14ac:dyDescent="0.25">
      <c r="A44" s="382"/>
      <c r="B44" s="387"/>
      <c r="C44" s="389" t="s">
        <v>244</v>
      </c>
      <c r="D44" s="385"/>
      <c r="E44" s="386"/>
      <c r="F44" s="268">
        <v>67500</v>
      </c>
      <c r="G44" s="366">
        <f>F44</f>
        <v>67500</v>
      </c>
      <c r="H44" s="366">
        <f>F44</f>
        <v>67500</v>
      </c>
      <c r="I44" s="732"/>
    </row>
    <row r="45" spans="1:10" s="437" customFormat="1" ht="15" x14ac:dyDescent="0.25">
      <c r="A45" s="439"/>
      <c r="B45" s="387"/>
      <c r="C45" s="389" t="s">
        <v>247</v>
      </c>
      <c r="D45" s="418"/>
      <c r="E45" s="414"/>
      <c r="F45" s="268">
        <v>0</v>
      </c>
      <c r="G45" s="366">
        <v>350000</v>
      </c>
      <c r="H45" s="366">
        <v>350000</v>
      </c>
      <c r="I45" s="732" t="s">
        <v>578</v>
      </c>
    </row>
    <row r="46" spans="1:10" s="437" customFormat="1" ht="15" x14ac:dyDescent="0.25">
      <c r="A46" s="439"/>
      <c r="B46" s="387"/>
      <c r="C46" s="389" t="s">
        <v>248</v>
      </c>
      <c r="D46" s="418"/>
      <c r="E46" s="414"/>
      <c r="F46" s="268">
        <v>0</v>
      </c>
      <c r="G46" s="366">
        <v>350000</v>
      </c>
      <c r="H46" s="366">
        <v>350000</v>
      </c>
      <c r="I46" s="732" t="s">
        <v>578</v>
      </c>
    </row>
    <row r="47" spans="1:10" s="437" customFormat="1" ht="15" x14ac:dyDescent="0.25">
      <c r="A47" s="439"/>
      <c r="B47" s="387"/>
      <c r="C47" s="389" t="s">
        <v>249</v>
      </c>
      <c r="D47" s="418"/>
      <c r="E47" s="414"/>
      <c r="F47" s="268">
        <v>0</v>
      </c>
      <c r="G47" s="366">
        <v>350000</v>
      </c>
      <c r="H47" s="366">
        <v>350000</v>
      </c>
      <c r="I47" s="732" t="s">
        <v>578</v>
      </c>
    </row>
    <row r="48" spans="1:10" s="625" customFormat="1" ht="15" x14ac:dyDescent="0.25">
      <c r="A48" s="611"/>
      <c r="B48" s="387"/>
      <c r="C48" s="389" t="s">
        <v>575</v>
      </c>
      <c r="D48" s="493"/>
      <c r="E48" s="414"/>
      <c r="F48" s="268">
        <v>0</v>
      </c>
      <c r="G48" s="366">
        <v>75000</v>
      </c>
      <c r="H48" s="366">
        <v>750000</v>
      </c>
      <c r="I48" s="732"/>
    </row>
    <row r="49" spans="1:10" s="625" customFormat="1" ht="15" x14ac:dyDescent="0.25">
      <c r="A49" s="611"/>
      <c r="B49" s="387"/>
      <c r="C49" s="475" t="s">
        <v>124</v>
      </c>
      <c r="F49" s="268">
        <v>0</v>
      </c>
      <c r="G49" s="366">
        <v>37500</v>
      </c>
      <c r="H49" s="366">
        <v>37500</v>
      </c>
      <c r="I49" s="732"/>
    </row>
    <row r="50" spans="1:10" s="70" customFormat="1" ht="15" x14ac:dyDescent="0.25">
      <c r="A50" s="59"/>
      <c r="B50" s="38"/>
      <c r="C50" s="53"/>
      <c r="E50" s="299"/>
      <c r="F50" s="173"/>
      <c r="G50" s="200"/>
      <c r="H50" s="200"/>
      <c r="I50" s="732"/>
    </row>
    <row r="51" spans="1:10" s="91" customFormat="1" ht="15" x14ac:dyDescent="0.25">
      <c r="B51" s="92"/>
      <c r="C51" s="177" t="s">
        <v>576</v>
      </c>
      <c r="D51" s="192"/>
      <c r="E51" s="102"/>
      <c r="F51" s="201">
        <f>SUM(F40:F49)</f>
        <v>855000</v>
      </c>
      <c r="G51" s="201">
        <f>SUM(G40:G49)</f>
        <v>2762500</v>
      </c>
      <c r="H51" s="201">
        <f>SUM(H40:H49)</f>
        <v>3787500</v>
      </c>
      <c r="I51" s="732"/>
      <c r="J51" s="732"/>
    </row>
    <row r="52" spans="1:10" s="91" customFormat="1" ht="15.75" thickBot="1" x14ac:dyDescent="0.3">
      <c r="B52" s="92"/>
      <c r="C52" s="733" t="s">
        <v>579</v>
      </c>
      <c r="D52" s="734"/>
      <c r="E52" s="735"/>
      <c r="F52" s="736">
        <v>855000</v>
      </c>
      <c r="G52" s="736">
        <f>F52+13722500</f>
        <v>14577500</v>
      </c>
      <c r="H52" s="736">
        <f>F52+16572500</f>
        <v>17427500</v>
      </c>
      <c r="I52" s="732" t="s">
        <v>580</v>
      </c>
      <c r="J52" s="732"/>
    </row>
    <row r="53" spans="1:10" s="70" customFormat="1" ht="15.75" thickTop="1" x14ac:dyDescent="0.25">
      <c r="A53" s="59"/>
      <c r="B53" s="38"/>
      <c r="E53" s="299"/>
      <c r="F53" s="299"/>
      <c r="G53" s="303"/>
      <c r="H53" s="303"/>
      <c r="I53" s="299"/>
    </row>
    <row r="54" spans="1:10" s="59" customFormat="1" ht="15" x14ac:dyDescent="0.25">
      <c r="A54" s="59" t="s">
        <v>104</v>
      </c>
      <c r="B54" s="169" t="s">
        <v>129</v>
      </c>
      <c r="C54" s="31"/>
      <c r="D54" s="31"/>
      <c r="E54" s="295"/>
      <c r="F54" s="199" t="s">
        <v>98</v>
      </c>
      <c r="G54" s="199" t="s">
        <v>88</v>
      </c>
      <c r="H54" s="199" t="s">
        <v>188</v>
      </c>
      <c r="I54" s="80"/>
    </row>
    <row r="55" spans="1:10" s="37" customFormat="1" ht="15" x14ac:dyDescent="0.25">
      <c r="A55" s="42"/>
      <c r="B55" s="52"/>
      <c r="C55" s="56" t="s">
        <v>127</v>
      </c>
      <c r="D55" s="48"/>
      <c r="E55" s="302"/>
      <c r="F55" s="200">
        <v>800000</v>
      </c>
      <c r="G55" s="200">
        <f>F55+300000</f>
        <v>1100000</v>
      </c>
      <c r="H55" s="200">
        <f>F55+525000</f>
        <v>1325000</v>
      </c>
      <c r="I55" s="178"/>
    </row>
    <row r="56" spans="1:10" s="37" customFormat="1" ht="15" x14ac:dyDescent="0.25">
      <c r="A56" s="42"/>
      <c r="B56" s="52"/>
      <c r="C56" s="87" t="s">
        <v>128</v>
      </c>
      <c r="D56" s="48"/>
      <c r="E56" s="302"/>
      <c r="F56" s="200">
        <v>300000</v>
      </c>
      <c r="G56" s="200">
        <f>F56+300000</f>
        <v>600000</v>
      </c>
      <c r="H56" s="200">
        <f>F56+300000</f>
        <v>600000</v>
      </c>
      <c r="I56" s="178"/>
    </row>
    <row r="57" spans="1:10" s="70" customFormat="1" ht="15" x14ac:dyDescent="0.25">
      <c r="A57" s="59"/>
      <c r="B57" s="52"/>
      <c r="C57" s="87"/>
      <c r="D57" s="48"/>
      <c r="E57" s="302"/>
      <c r="F57" s="200"/>
      <c r="G57" s="200"/>
      <c r="H57" s="200"/>
      <c r="I57" s="178"/>
    </row>
    <row r="58" spans="1:10" s="60" customFormat="1" ht="15" x14ac:dyDescent="0.25">
      <c r="B58" s="52"/>
      <c r="C58" s="93" t="s">
        <v>84</v>
      </c>
      <c r="D58" s="24"/>
      <c r="E58" s="102"/>
      <c r="F58" s="201">
        <f>SUM(F55:F56)</f>
        <v>1100000</v>
      </c>
      <c r="G58" s="201">
        <f t="shared" ref="G58:H58" si="4">SUM(G55:G56)</f>
        <v>1700000</v>
      </c>
      <c r="H58" s="201">
        <f t="shared" si="4"/>
        <v>1925000</v>
      </c>
      <c r="I58" s="178"/>
    </row>
    <row r="59" spans="1:10" s="51" customFormat="1" ht="15" x14ac:dyDescent="0.25">
      <c r="A59" s="42"/>
      <c r="B59" s="52"/>
      <c r="C59" s="56"/>
      <c r="D59" s="48"/>
      <c r="E59" s="302"/>
      <c r="F59" s="276"/>
      <c r="G59" s="276"/>
      <c r="H59" s="299"/>
      <c r="I59" s="299"/>
    </row>
    <row r="60" spans="1:10" ht="15" x14ac:dyDescent="0.25">
      <c r="E60" s="299"/>
      <c r="F60" s="299"/>
      <c r="G60" s="299"/>
      <c r="H60" s="299"/>
      <c r="I60" s="299"/>
    </row>
    <row r="61" spans="1:10" ht="15" x14ac:dyDescent="0.25">
      <c r="A61" s="80" t="s">
        <v>4</v>
      </c>
      <c r="B61" s="80" t="s">
        <v>105</v>
      </c>
      <c r="C61" s="491"/>
      <c r="D61" s="491"/>
      <c r="E61" s="491"/>
      <c r="F61" s="947" t="s">
        <v>85</v>
      </c>
      <c r="G61" s="947" t="s">
        <v>107</v>
      </c>
      <c r="H61" s="947" t="s">
        <v>109</v>
      </c>
      <c r="I61" s="947" t="s">
        <v>108</v>
      </c>
    </row>
    <row r="62" spans="1:10" ht="15" x14ac:dyDescent="0.25">
      <c r="A62" s="491"/>
      <c r="B62" s="491"/>
      <c r="C62" s="491" t="s">
        <v>230</v>
      </c>
      <c r="D62" s="491"/>
      <c r="E62" s="491"/>
      <c r="F62" s="173">
        <v>193963</v>
      </c>
      <c r="G62" s="173">
        <v>294061</v>
      </c>
      <c r="H62" s="173">
        <v>294061</v>
      </c>
      <c r="I62" s="173">
        <v>294061</v>
      </c>
    </row>
    <row r="63" spans="1:10" ht="15" x14ac:dyDescent="0.25">
      <c r="A63" s="491"/>
      <c r="B63" s="491"/>
      <c r="C63" s="491"/>
      <c r="D63" s="491"/>
      <c r="E63" s="491"/>
      <c r="F63" s="173"/>
      <c r="G63" s="173"/>
      <c r="H63" s="173"/>
      <c r="I63" s="173"/>
    </row>
    <row r="64" spans="1:10" s="70" customFormat="1" x14ac:dyDescent="0.3">
      <c r="A64" s="491"/>
      <c r="B64" s="491"/>
      <c r="C64" s="491"/>
      <c r="D64" s="491"/>
      <c r="E64" s="491"/>
      <c r="F64" s="173"/>
      <c r="G64" s="173"/>
      <c r="H64" s="173"/>
      <c r="I64" s="173"/>
    </row>
    <row r="65" spans="1:13" x14ac:dyDescent="0.3">
      <c r="A65" s="491"/>
      <c r="B65" s="491"/>
      <c r="C65" s="78" t="s">
        <v>84</v>
      </c>
      <c r="D65" s="78"/>
      <c r="E65" s="78"/>
      <c r="F65" s="201">
        <f>SUM(F62:F63)</f>
        <v>193963</v>
      </c>
      <c r="G65" s="201">
        <f t="shared" ref="G65:I65" si="5">SUM(G62:G63)</f>
        <v>294061</v>
      </c>
      <c r="H65" s="201">
        <f t="shared" si="5"/>
        <v>294061</v>
      </c>
      <c r="I65" s="201">
        <f t="shared" si="5"/>
        <v>294061</v>
      </c>
    </row>
    <row r="67" spans="1:13" x14ac:dyDescent="0.3">
      <c r="A67" s="59" t="s">
        <v>6</v>
      </c>
      <c r="B67" s="59" t="s">
        <v>106</v>
      </c>
      <c r="F67" s="63" t="s">
        <v>85</v>
      </c>
      <c r="G67" s="63" t="s">
        <v>107</v>
      </c>
      <c r="H67" s="63" t="s">
        <v>109</v>
      </c>
      <c r="I67" s="63" t="s">
        <v>108</v>
      </c>
    </row>
    <row r="68" spans="1:13" x14ac:dyDescent="0.3">
      <c r="C68" t="s">
        <v>445</v>
      </c>
      <c r="F68" s="64">
        <f>'CBS (Total)'!J40+'CBS (Total)'!J39+'CBS (Total)'!J29+'CBS (Total)'!J24+'CBS (Total)'!J18+'CBS (Total)'!J12+'CBS (Total)'!J5+'CBS (Total)'!J10</f>
        <v>22201338.307365194</v>
      </c>
      <c r="G68" s="420">
        <f>'CBS (Total)'!L40+'CBS (Total)'!L39+'CBS (Total)'!L29+'CBS (Total)'!L24+'CBS (Total)'!L18+'CBS (Total)'!L12+'CBS (Total)'!L5+'CBS (Total)'!L10</f>
        <v>114083619.74678819</v>
      </c>
      <c r="H68" s="420">
        <f>'CBS (Total)'!N40+'CBS (Total)'!N39+'CBS (Total)'!N29+'CBS (Total)'!N24+'CBS (Total)'!N18+'CBS (Total)'!N12+'CBS (Total)'!N5+'CBS (Total)'!N10</f>
        <v>398100189.9683758</v>
      </c>
      <c r="I68" s="420">
        <f>'CBS (Total)'!P40+'CBS (Total)'!P39+'CBS (Total)'!P29+'CBS (Total)'!P24+'CBS (Total)'!P18+'CBS (Total)'!P12+'CBS (Total)'!P5+'CBS (Total)'!P10</f>
        <v>743236974.49792492</v>
      </c>
      <c r="K68" s="420"/>
      <c r="M68" s="64"/>
    </row>
    <row r="69" spans="1:13" x14ac:dyDescent="0.3">
      <c r="C69" t="s">
        <v>148</v>
      </c>
      <c r="F69" s="44">
        <v>0.05</v>
      </c>
      <c r="G69" s="44">
        <v>0.03</v>
      </c>
      <c r="H69" s="44">
        <v>0.02</v>
      </c>
      <c r="I69" s="44">
        <v>0.01</v>
      </c>
    </row>
    <row r="70" spans="1:13" s="70" customFormat="1" x14ac:dyDescent="0.3">
      <c r="F70" s="44"/>
      <c r="G70" s="44"/>
      <c r="H70" s="44"/>
      <c r="I70" s="44"/>
    </row>
    <row r="71" spans="1:13" x14ac:dyDescent="0.3">
      <c r="C71" s="18" t="s">
        <v>79</v>
      </c>
      <c r="D71" s="18"/>
      <c r="E71" s="18"/>
      <c r="F71" s="179">
        <f>F69*F68</f>
        <v>1110066.9153682597</v>
      </c>
      <c r="G71" s="179">
        <f t="shared" ref="G71:I71" si="6">G69*G68</f>
        <v>3422508.5924036456</v>
      </c>
      <c r="H71" s="179">
        <f t="shared" si="6"/>
        <v>7962003.7993675163</v>
      </c>
      <c r="I71" s="179">
        <f t="shared" si="6"/>
        <v>7432369.7449792493</v>
      </c>
    </row>
    <row r="75" spans="1:13" s="263" customFormat="1" x14ac:dyDescent="0.3">
      <c r="A75" s="183" t="s">
        <v>149</v>
      </c>
    </row>
    <row r="76" spans="1:13" s="263" customFormat="1" x14ac:dyDescent="0.3">
      <c r="A76" s="610" t="s">
        <v>2</v>
      </c>
      <c r="B76" s="610" t="s">
        <v>447</v>
      </c>
    </row>
    <row r="77" spans="1:13" s="263" customFormat="1" x14ac:dyDescent="0.3">
      <c r="A77" s="610" t="s">
        <v>4</v>
      </c>
      <c r="B77" s="610" t="s">
        <v>448</v>
      </c>
    </row>
    <row r="78" spans="1:13" s="297" customFormat="1" x14ac:dyDescent="0.3">
      <c r="A78" s="610"/>
      <c r="B78" s="610" t="s">
        <v>449</v>
      </c>
    </row>
    <row r="79" spans="1:13" s="297" customFormat="1" x14ac:dyDescent="0.3">
      <c r="A79" s="610"/>
      <c r="B79" s="610" t="s">
        <v>450</v>
      </c>
    </row>
    <row r="80" spans="1:13" s="297" customFormat="1" x14ac:dyDescent="0.3">
      <c r="A80" s="610"/>
      <c r="B80" s="610" t="s">
        <v>451</v>
      </c>
    </row>
    <row r="81" spans="1:2" s="263" customFormat="1" x14ac:dyDescent="0.3">
      <c r="A81" s="610" t="s">
        <v>6</v>
      </c>
      <c r="B81" s="610" t="s">
        <v>452</v>
      </c>
    </row>
    <row r="82" spans="1:2" s="263" customFormat="1" x14ac:dyDescent="0.3"/>
    <row r="83" spans="1:2" s="263" customFormat="1" x14ac:dyDescent="0.3">
      <c r="A83" s="183" t="s">
        <v>213</v>
      </c>
    </row>
    <row r="84" spans="1:2" s="263" customFormat="1" x14ac:dyDescent="0.3">
      <c r="A84" s="608" t="s">
        <v>101</v>
      </c>
      <c r="B84" s="609" t="s">
        <v>214</v>
      </c>
    </row>
    <row r="85" spans="1:2" s="263" customFormat="1" x14ac:dyDescent="0.3">
      <c r="A85" s="608" t="s">
        <v>102</v>
      </c>
      <c r="B85" s="609" t="s">
        <v>214</v>
      </c>
    </row>
    <row r="86" spans="1:2" s="263" customFormat="1" x14ac:dyDescent="0.3">
      <c r="A86" s="608" t="s">
        <v>103</v>
      </c>
      <c r="B86" s="609" t="s">
        <v>214</v>
      </c>
    </row>
    <row r="87" spans="1:2" s="263" customFormat="1" x14ac:dyDescent="0.3">
      <c r="A87" s="608" t="s">
        <v>104</v>
      </c>
      <c r="B87" s="609" t="s">
        <v>214</v>
      </c>
    </row>
    <row r="88" spans="1:2" s="263" customFormat="1" x14ac:dyDescent="0.3">
      <c r="A88" s="608" t="s">
        <v>4</v>
      </c>
      <c r="B88" s="625" t="s">
        <v>582</v>
      </c>
    </row>
    <row r="89" spans="1:2" s="263" customFormat="1" x14ac:dyDescent="0.3">
      <c r="A89" s="608" t="s">
        <v>6</v>
      </c>
      <c r="B89" s="625" t="s">
        <v>583</v>
      </c>
    </row>
  </sheetData>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topLeftCell="A4" zoomScale="70" zoomScaleNormal="70" zoomScalePageLayoutView="70" workbookViewId="0">
      <selection activeCell="I62" sqref="I62"/>
    </sheetView>
  </sheetViews>
  <sheetFormatPr defaultColWidth="8.88671875" defaultRowHeight="14.4" x14ac:dyDescent="0.3"/>
  <cols>
    <col min="1" max="1" width="3.88671875" style="768" customWidth="1"/>
    <col min="2" max="2" width="6.33203125" style="768" customWidth="1"/>
    <col min="3" max="3" width="53" style="768" customWidth="1"/>
    <col min="4" max="4" width="13.44140625" style="768" customWidth="1"/>
    <col min="5" max="5" width="15.88671875" style="768" customWidth="1"/>
    <col min="6" max="6" width="19.33203125" style="768" customWidth="1"/>
    <col min="7" max="7" width="18.109375" style="768" customWidth="1"/>
    <col min="8" max="8" width="18" style="768" customWidth="1"/>
    <col min="9" max="16384" width="8.88671875" style="768"/>
  </cols>
  <sheetData>
    <row r="1" spans="1:8" ht="15" x14ac:dyDescent="0.25">
      <c r="A1" s="611" t="s">
        <v>365</v>
      </c>
    </row>
    <row r="3" spans="1:8" ht="15" x14ac:dyDescent="0.25">
      <c r="A3" s="611" t="s">
        <v>110</v>
      </c>
      <c r="D3" s="768" t="s">
        <v>66</v>
      </c>
      <c r="E3" s="768">
        <v>1</v>
      </c>
      <c r="F3" s="768">
        <v>10</v>
      </c>
      <c r="G3" s="768">
        <v>50</v>
      </c>
      <c r="H3" s="768">
        <v>100</v>
      </c>
    </row>
    <row r="4" spans="1:8" ht="15" x14ac:dyDescent="0.25">
      <c r="A4" s="611"/>
      <c r="B4" s="768" t="s">
        <v>9</v>
      </c>
      <c r="C4" s="768" t="s">
        <v>12</v>
      </c>
      <c r="E4" s="474">
        <f>D39</f>
        <v>900000</v>
      </c>
      <c r="F4" s="474">
        <f t="shared" ref="F4:H4" si="0">E39</f>
        <v>900000</v>
      </c>
      <c r="G4" s="474">
        <f t="shared" si="0"/>
        <v>3360000</v>
      </c>
      <c r="H4" s="474">
        <f t="shared" si="0"/>
        <v>8700000</v>
      </c>
    </row>
    <row r="5" spans="1:8" ht="15" x14ac:dyDescent="0.25">
      <c r="A5" s="611"/>
      <c r="B5" s="768" t="s">
        <v>11</v>
      </c>
      <c r="C5" s="768" t="s">
        <v>150</v>
      </c>
      <c r="E5" s="474">
        <f>D47</f>
        <v>90000</v>
      </c>
      <c r="F5" s="474">
        <f t="shared" ref="F5:H5" si="1">E47</f>
        <v>90000</v>
      </c>
      <c r="G5" s="474">
        <f t="shared" si="1"/>
        <v>336000</v>
      </c>
      <c r="H5" s="474">
        <f t="shared" si="1"/>
        <v>870000</v>
      </c>
    </row>
    <row r="6" spans="1:8" ht="15" x14ac:dyDescent="0.25">
      <c r="A6" s="611"/>
      <c r="B6" s="768" t="s">
        <v>13</v>
      </c>
      <c r="C6" s="768" t="s">
        <v>14</v>
      </c>
      <c r="E6" s="474">
        <f>D54</f>
        <v>0</v>
      </c>
      <c r="F6" s="474">
        <f t="shared" ref="F6:H6" si="2">E54</f>
        <v>0</v>
      </c>
      <c r="G6" s="474">
        <f t="shared" si="2"/>
        <v>0</v>
      </c>
      <c r="H6" s="474">
        <f t="shared" si="2"/>
        <v>0</v>
      </c>
    </row>
    <row r="7" spans="1:8" ht="15" x14ac:dyDescent="0.25">
      <c r="A7" s="611"/>
      <c r="B7" s="768" t="s">
        <v>15</v>
      </c>
      <c r="C7" s="768" t="s">
        <v>59</v>
      </c>
      <c r="E7" s="474">
        <f>D65</f>
        <v>0</v>
      </c>
      <c r="F7" s="474">
        <f t="shared" ref="F7:H7" si="3">E65</f>
        <v>3870000</v>
      </c>
      <c r="G7" s="474">
        <f t="shared" si="3"/>
        <v>3870000</v>
      </c>
      <c r="H7" s="474">
        <f t="shared" si="3"/>
        <v>7740000</v>
      </c>
    </row>
    <row r="8" spans="1:8" ht="15" x14ac:dyDescent="0.25">
      <c r="A8" s="611"/>
      <c r="B8" s="768" t="s">
        <v>16</v>
      </c>
      <c r="C8" s="768" t="s">
        <v>17</v>
      </c>
      <c r="E8" s="420"/>
      <c r="F8" s="420"/>
      <c r="G8" s="420"/>
      <c r="H8" s="420"/>
    </row>
    <row r="9" spans="1:8" ht="15" x14ac:dyDescent="0.25">
      <c r="A9" s="611"/>
      <c r="D9" s="474"/>
      <c r="E9" s="474"/>
      <c r="F9" s="474"/>
      <c r="G9" s="474"/>
    </row>
    <row r="10" spans="1:8" ht="15" x14ac:dyDescent="0.25">
      <c r="A10" s="611"/>
      <c r="B10" s="298"/>
      <c r="C10" s="298" t="s">
        <v>99</v>
      </c>
      <c r="D10" s="301"/>
      <c r="E10" s="301">
        <f>SUM(E4:E8)</f>
        <v>990000</v>
      </c>
      <c r="F10" s="301">
        <f t="shared" ref="F10:H10" si="4">SUM(F4:F8)</f>
        <v>4860000</v>
      </c>
      <c r="G10" s="301">
        <f t="shared" si="4"/>
        <v>7566000</v>
      </c>
      <c r="H10" s="301">
        <f t="shared" si="4"/>
        <v>17310000</v>
      </c>
    </row>
    <row r="11" spans="1:8" ht="15" x14ac:dyDescent="0.25">
      <c r="A11" s="611"/>
      <c r="D11" s="474"/>
      <c r="E11" s="474"/>
      <c r="F11" s="474"/>
      <c r="G11" s="474"/>
    </row>
    <row r="14" spans="1:8" ht="15" x14ac:dyDescent="0.25">
      <c r="A14" s="611"/>
      <c r="B14" s="611"/>
    </row>
    <row r="15" spans="1:8" ht="15" x14ac:dyDescent="0.25">
      <c r="A15" s="611" t="s">
        <v>250</v>
      </c>
      <c r="E15" s="419" t="s">
        <v>260</v>
      </c>
      <c r="F15" s="768" t="s">
        <v>66</v>
      </c>
    </row>
    <row r="16" spans="1:8" ht="15" x14ac:dyDescent="0.25">
      <c r="A16" s="611"/>
      <c r="D16" s="518">
        <v>1</v>
      </c>
      <c r="E16" s="518">
        <v>10</v>
      </c>
      <c r="F16" s="518">
        <v>50</v>
      </c>
      <c r="G16" s="518">
        <v>100</v>
      </c>
    </row>
    <row r="17" spans="1:7" ht="15" x14ac:dyDescent="0.25">
      <c r="A17" s="611"/>
      <c r="B17" s="768" t="s">
        <v>258</v>
      </c>
      <c r="D17" s="82"/>
      <c r="E17" s="95"/>
      <c r="F17" s="419"/>
      <c r="G17" s="419"/>
    </row>
    <row r="18" spans="1:7" ht="15" x14ac:dyDescent="0.25">
      <c r="A18" s="611"/>
      <c r="C18" s="768" t="s">
        <v>259</v>
      </c>
      <c r="D18" s="518">
        <v>350</v>
      </c>
      <c r="E18" s="518">
        <v>350</v>
      </c>
      <c r="F18" s="518">
        <v>350</v>
      </c>
      <c r="G18" s="518">
        <v>350</v>
      </c>
    </row>
    <row r="19" spans="1:7" ht="15" x14ac:dyDescent="0.25">
      <c r="A19" s="611"/>
      <c r="C19" s="768" t="s">
        <v>261</v>
      </c>
      <c r="D19" s="519">
        <f>D18*D16/1000</f>
        <v>0.35</v>
      </c>
      <c r="E19" s="519">
        <f t="shared" ref="E19:G19" si="5">E18*E16/1000</f>
        <v>3.5</v>
      </c>
      <c r="F19" s="519">
        <f t="shared" si="5"/>
        <v>17.5</v>
      </c>
      <c r="G19" s="519">
        <f t="shared" si="5"/>
        <v>35</v>
      </c>
    </row>
    <row r="20" spans="1:7" ht="15" x14ac:dyDescent="0.25">
      <c r="A20" s="611"/>
      <c r="C20" s="768" t="s">
        <v>262</v>
      </c>
      <c r="D20" s="519">
        <f>D19*1.2</f>
        <v>0.42</v>
      </c>
      <c r="E20" s="519">
        <f t="shared" ref="E20:G20" si="6">E19*1.2</f>
        <v>4.2</v>
      </c>
      <c r="F20" s="519">
        <f t="shared" si="6"/>
        <v>21</v>
      </c>
      <c r="G20" s="519">
        <f t="shared" si="6"/>
        <v>42</v>
      </c>
    </row>
    <row r="21" spans="1:7" ht="15" x14ac:dyDescent="0.25">
      <c r="A21" s="611"/>
      <c r="D21" s="82"/>
      <c r="E21" s="95"/>
      <c r="F21" s="419"/>
      <c r="G21" s="419"/>
    </row>
    <row r="22" spans="1:7" ht="15" x14ac:dyDescent="0.25">
      <c r="A22" s="611"/>
      <c r="B22" s="768" t="s">
        <v>256</v>
      </c>
      <c r="F22" s="419"/>
      <c r="G22" s="419"/>
    </row>
    <row r="23" spans="1:7" ht="15" x14ac:dyDescent="0.25">
      <c r="A23" s="611"/>
      <c r="C23" s="768" t="s">
        <v>257</v>
      </c>
      <c r="D23" s="448">
        <v>5000</v>
      </c>
      <c r="E23" s="768">
        <v>5000</v>
      </c>
      <c r="F23" s="419">
        <v>5000</v>
      </c>
      <c r="G23" s="419">
        <v>5000</v>
      </c>
    </row>
    <row r="24" spans="1:7" ht="15" x14ac:dyDescent="0.25">
      <c r="A24" s="611"/>
      <c r="C24" s="768" t="s">
        <v>264</v>
      </c>
      <c r="D24" s="448">
        <v>0</v>
      </c>
      <c r="E24" s="768">
        <v>0</v>
      </c>
      <c r="F24" s="768">
        <f>(F16-20)/2*600</f>
        <v>9000</v>
      </c>
      <c r="G24" s="768">
        <f>(G16-20)/2*600</f>
        <v>24000</v>
      </c>
    </row>
    <row r="25" spans="1:7" ht="15" x14ac:dyDescent="0.25">
      <c r="A25" s="611"/>
      <c r="C25" s="768" t="s">
        <v>263</v>
      </c>
      <c r="D25" s="448">
        <f>(D23+D24)*1.2</f>
        <v>6000</v>
      </c>
      <c r="E25" s="448">
        <f t="shared" ref="E25:G25" si="7">(E23+E24)*1.2</f>
        <v>6000</v>
      </c>
      <c r="F25" s="448">
        <f t="shared" si="7"/>
        <v>16800</v>
      </c>
      <c r="G25" s="448">
        <f t="shared" si="7"/>
        <v>34800</v>
      </c>
    </row>
    <row r="26" spans="1:7" ht="15" x14ac:dyDescent="0.25">
      <c r="A26" s="611"/>
      <c r="D26" s="448"/>
      <c r="F26" s="419"/>
      <c r="G26" s="419"/>
    </row>
    <row r="27" spans="1:7" ht="15" x14ac:dyDescent="0.25">
      <c r="A27" s="611"/>
      <c r="B27" s="768" t="s">
        <v>269</v>
      </c>
      <c r="F27" s="419"/>
      <c r="G27" s="419"/>
    </row>
    <row r="28" spans="1:7" ht="15" x14ac:dyDescent="0.25">
      <c r="A28" s="611"/>
      <c r="C28" s="768" t="s">
        <v>265</v>
      </c>
      <c r="D28" s="448">
        <f>600+50*2*2</f>
        <v>800</v>
      </c>
      <c r="E28" s="448">
        <f t="shared" ref="E28:G28" si="8">600+50*2*2</f>
        <v>800</v>
      </c>
      <c r="F28" s="448">
        <f t="shared" si="8"/>
        <v>800</v>
      </c>
      <c r="G28" s="448">
        <f t="shared" si="8"/>
        <v>800</v>
      </c>
    </row>
    <row r="29" spans="1:7" ht="15" x14ac:dyDescent="0.25">
      <c r="A29" s="611"/>
      <c r="C29" s="768" t="s">
        <v>266</v>
      </c>
      <c r="D29" s="768">
        <f>D28*D16</f>
        <v>800</v>
      </c>
      <c r="E29" s="768">
        <f t="shared" ref="E29:G29" si="9">E28*E16</f>
        <v>8000</v>
      </c>
      <c r="F29" s="768">
        <f t="shared" si="9"/>
        <v>40000</v>
      </c>
      <c r="G29" s="768">
        <f t="shared" si="9"/>
        <v>80000</v>
      </c>
    </row>
    <row r="30" spans="1:7" ht="15" x14ac:dyDescent="0.25">
      <c r="A30" s="611"/>
      <c r="D30" s="448"/>
      <c r="F30" s="419"/>
      <c r="G30" s="419"/>
    </row>
    <row r="31" spans="1:7" ht="15" x14ac:dyDescent="0.25">
      <c r="A31" s="611"/>
      <c r="B31" s="768" t="s">
        <v>267</v>
      </c>
      <c r="F31" s="419"/>
      <c r="G31" s="419"/>
    </row>
    <row r="32" spans="1:7" ht="15" x14ac:dyDescent="0.25">
      <c r="A32" s="611"/>
      <c r="C32" s="768" t="s">
        <v>270</v>
      </c>
      <c r="D32" s="413">
        <v>150</v>
      </c>
      <c r="E32" s="413">
        <v>150</v>
      </c>
      <c r="F32" s="521">
        <v>200</v>
      </c>
      <c r="G32" s="521">
        <v>250</v>
      </c>
    </row>
    <row r="33" spans="1:7" ht="15" x14ac:dyDescent="0.25">
      <c r="A33" s="611"/>
      <c r="C33" s="768" t="s">
        <v>443</v>
      </c>
      <c r="D33" s="521">
        <v>0</v>
      </c>
      <c r="E33" s="521">
        <v>0</v>
      </c>
      <c r="F33" s="521">
        <v>0</v>
      </c>
      <c r="G33" s="521">
        <v>0</v>
      </c>
    </row>
    <row r="34" spans="1:7" ht="15" x14ac:dyDescent="0.25">
      <c r="A34" s="611"/>
      <c r="C34" s="769"/>
      <c r="D34" s="413"/>
      <c r="E34" s="413"/>
      <c r="F34" s="521"/>
      <c r="G34" s="521"/>
    </row>
    <row r="35" spans="1:7" ht="15" x14ac:dyDescent="0.25">
      <c r="A35" s="611"/>
      <c r="B35" s="768" t="s">
        <v>80</v>
      </c>
      <c r="D35" s="413"/>
      <c r="E35" s="413"/>
      <c r="F35" s="521"/>
      <c r="G35" s="521"/>
    </row>
    <row r="36" spans="1:7" ht="15" x14ac:dyDescent="0.25">
      <c r="A36" s="611"/>
      <c r="C36" s="768" t="s">
        <v>268</v>
      </c>
      <c r="D36" s="413">
        <f>D32*D25</f>
        <v>900000</v>
      </c>
      <c r="E36" s="413">
        <f t="shared" ref="E36:G36" si="10">E32*E25</f>
        <v>900000</v>
      </c>
      <c r="F36" s="413">
        <f t="shared" si="10"/>
        <v>3360000</v>
      </c>
      <c r="G36" s="413">
        <f t="shared" si="10"/>
        <v>8700000</v>
      </c>
    </row>
    <row r="37" spans="1:7" ht="15" x14ac:dyDescent="0.25">
      <c r="A37" s="611"/>
      <c r="C37" s="768" t="s">
        <v>271</v>
      </c>
      <c r="D37" s="413">
        <f>D33*D29</f>
        <v>0</v>
      </c>
      <c r="E37" s="413">
        <f t="shared" ref="E37:G37" si="11">E33*E29</f>
        <v>0</v>
      </c>
      <c r="F37" s="413">
        <f t="shared" si="11"/>
        <v>0</v>
      </c>
      <c r="G37" s="413">
        <f t="shared" si="11"/>
        <v>0</v>
      </c>
    </row>
    <row r="38" spans="1:7" x14ac:dyDescent="0.3">
      <c r="A38" s="611"/>
      <c r="C38" s="492"/>
      <c r="D38" s="366"/>
      <c r="E38" s="413"/>
      <c r="F38" s="521"/>
      <c r="G38" s="521"/>
    </row>
    <row r="39" spans="1:7" x14ac:dyDescent="0.3">
      <c r="A39" s="611"/>
      <c r="C39" s="78" t="s">
        <v>81</v>
      </c>
      <c r="D39" s="201">
        <f>D37+D36</f>
        <v>900000</v>
      </c>
      <c r="E39" s="201">
        <f t="shared" ref="E39:G39" si="12">E37+E36</f>
        <v>900000</v>
      </c>
      <c r="F39" s="201">
        <f t="shared" si="12"/>
        <v>3360000</v>
      </c>
      <c r="G39" s="201">
        <f t="shared" si="12"/>
        <v>8700000</v>
      </c>
    </row>
    <row r="40" spans="1:7" x14ac:dyDescent="0.3">
      <c r="A40" s="611"/>
      <c r="C40" s="492"/>
      <c r="D40" s="492"/>
      <c r="F40" s="419"/>
      <c r="G40" s="419"/>
    </row>
    <row r="42" spans="1:7" x14ac:dyDescent="0.3">
      <c r="A42" s="611" t="s">
        <v>151</v>
      </c>
      <c r="B42" s="611"/>
      <c r="C42" s="611"/>
    </row>
    <row r="43" spans="1:7" x14ac:dyDescent="0.3">
      <c r="A43" s="611"/>
      <c r="B43" s="611"/>
      <c r="C43" s="611"/>
      <c r="D43" s="82" t="s">
        <v>85</v>
      </c>
      <c r="E43" s="95" t="s">
        <v>107</v>
      </c>
      <c r="F43" s="419" t="s">
        <v>109</v>
      </c>
      <c r="G43" s="419" t="s">
        <v>108</v>
      </c>
    </row>
    <row r="44" spans="1:7" x14ac:dyDescent="0.3">
      <c r="D44" s="402"/>
      <c r="E44" s="402"/>
      <c r="F44" s="402"/>
      <c r="G44" s="402"/>
    </row>
    <row r="45" spans="1:7" x14ac:dyDescent="0.3">
      <c r="C45" s="768" t="s">
        <v>272</v>
      </c>
      <c r="D45" s="173">
        <f>10%*D39</f>
        <v>90000</v>
      </c>
      <c r="E45" s="173">
        <f t="shared" ref="E45:G45" si="13">10%*E39</f>
        <v>90000</v>
      </c>
      <c r="F45" s="173">
        <f t="shared" si="13"/>
        <v>336000</v>
      </c>
      <c r="G45" s="173">
        <f t="shared" si="13"/>
        <v>870000</v>
      </c>
    </row>
    <row r="46" spans="1:7" x14ac:dyDescent="0.3">
      <c r="D46" s="474"/>
      <c r="E46" s="400"/>
    </row>
    <row r="47" spans="1:7" x14ac:dyDescent="0.3">
      <c r="C47" s="298" t="s">
        <v>79</v>
      </c>
      <c r="D47" s="301">
        <f>SUM(D45:D46)</f>
        <v>90000</v>
      </c>
      <c r="E47" s="301">
        <f t="shared" ref="E47:G47" si="14">SUM(E45:E46)</f>
        <v>90000</v>
      </c>
      <c r="F47" s="301">
        <f t="shared" si="14"/>
        <v>336000</v>
      </c>
      <c r="G47" s="301">
        <f t="shared" si="14"/>
        <v>870000</v>
      </c>
    </row>
    <row r="48" spans="1:7" x14ac:dyDescent="0.3">
      <c r="D48" s="474"/>
    </row>
    <row r="49" spans="1:7" x14ac:dyDescent="0.3">
      <c r="A49" s="611" t="s">
        <v>134</v>
      </c>
      <c r="B49" s="611"/>
      <c r="D49" s="474"/>
    </row>
    <row r="50" spans="1:7" x14ac:dyDescent="0.3">
      <c r="A50" s="611"/>
      <c r="B50" s="611"/>
      <c r="D50" s="82" t="s">
        <v>85</v>
      </c>
      <c r="E50" s="419" t="s">
        <v>107</v>
      </c>
      <c r="F50" s="419" t="s">
        <v>109</v>
      </c>
      <c r="G50" s="419" t="s">
        <v>108</v>
      </c>
    </row>
    <row r="51" spans="1:7" x14ac:dyDescent="0.3">
      <c r="A51" s="611"/>
      <c r="B51" s="611"/>
      <c r="D51" s="474"/>
    </row>
    <row r="52" spans="1:7" x14ac:dyDescent="0.3">
      <c r="A52" s="611"/>
      <c r="B52" s="611"/>
      <c r="C52" s="768" t="s">
        <v>273</v>
      </c>
      <c r="D52" s="474"/>
    </row>
    <row r="53" spans="1:7" x14ac:dyDescent="0.3">
      <c r="A53" s="611"/>
      <c r="B53" s="611"/>
      <c r="D53" s="474"/>
    </row>
    <row r="54" spans="1:7" x14ac:dyDescent="0.3">
      <c r="C54" s="298" t="s">
        <v>79</v>
      </c>
      <c r="D54" s="301">
        <v>0</v>
      </c>
      <c r="E54" s="301">
        <v>0</v>
      </c>
      <c r="F54" s="301">
        <v>0</v>
      </c>
      <c r="G54" s="301">
        <v>0</v>
      </c>
    </row>
    <row r="55" spans="1:7" x14ac:dyDescent="0.3">
      <c r="D55" s="474"/>
    </row>
    <row r="56" spans="1:7" x14ac:dyDescent="0.3">
      <c r="A56" s="611" t="s">
        <v>135</v>
      </c>
      <c r="B56" s="611"/>
      <c r="D56" s="474"/>
    </row>
    <row r="57" spans="1:7" x14ac:dyDescent="0.3">
      <c r="A57" s="611"/>
      <c r="B57" s="611"/>
      <c r="C57" s="611"/>
      <c r="D57" s="82" t="s">
        <v>85</v>
      </c>
      <c r="E57" s="95" t="s">
        <v>107</v>
      </c>
      <c r="F57" s="419" t="s">
        <v>109</v>
      </c>
      <c r="G57" s="419" t="s">
        <v>108</v>
      </c>
    </row>
    <row r="58" spans="1:7" x14ac:dyDescent="0.3">
      <c r="A58" s="611"/>
      <c r="B58" s="769" t="s">
        <v>312</v>
      </c>
      <c r="C58" s="611"/>
      <c r="D58" s="82"/>
      <c r="E58" s="95"/>
      <c r="F58" s="419"/>
      <c r="G58" s="419"/>
    </row>
    <row r="59" spans="1:7" x14ac:dyDescent="0.3">
      <c r="A59" s="611"/>
      <c r="B59" s="769" t="s">
        <v>396</v>
      </c>
      <c r="C59" s="611"/>
      <c r="D59" s="82"/>
      <c r="E59" s="95"/>
      <c r="F59" s="419"/>
      <c r="G59" s="419"/>
    </row>
    <row r="60" spans="1:7" x14ac:dyDescent="0.3">
      <c r="A60" s="611"/>
      <c r="B60" s="769" t="s">
        <v>397</v>
      </c>
      <c r="D60" s="402"/>
      <c r="E60" s="402"/>
      <c r="F60" s="402"/>
      <c r="G60" s="402"/>
    </row>
    <row r="61" spans="1:7" x14ac:dyDescent="0.3">
      <c r="A61" s="611"/>
      <c r="B61" s="769" t="s">
        <v>398</v>
      </c>
      <c r="D61" s="402"/>
      <c r="E61" s="402"/>
      <c r="F61" s="402"/>
      <c r="G61" s="402"/>
    </row>
    <row r="62" spans="1:7" x14ac:dyDescent="0.3">
      <c r="A62" s="611"/>
      <c r="B62" s="611"/>
      <c r="D62" s="402"/>
      <c r="E62" s="402"/>
      <c r="F62" s="402"/>
      <c r="G62" s="402"/>
    </row>
    <row r="63" spans="1:7" x14ac:dyDescent="0.3">
      <c r="A63" s="611"/>
      <c r="B63" s="611"/>
      <c r="C63" s="768" t="s">
        <v>376</v>
      </c>
      <c r="D63" s="173"/>
      <c r="E63" s="173">
        <f>(2.09+5.65)/2*1000000</f>
        <v>3870000</v>
      </c>
      <c r="F63" s="527">
        <f>E63</f>
        <v>3870000</v>
      </c>
      <c r="G63" s="173">
        <f>F63*2</f>
        <v>7740000</v>
      </c>
    </row>
    <row r="64" spans="1:7" x14ac:dyDescent="0.3">
      <c r="A64" s="611"/>
      <c r="B64" s="611"/>
      <c r="D64" s="474"/>
      <c r="E64" s="400"/>
    </row>
    <row r="65" spans="1:7" x14ac:dyDescent="0.3">
      <c r="C65" s="298" t="s">
        <v>79</v>
      </c>
      <c r="D65" s="301">
        <f>D63</f>
        <v>0</v>
      </c>
      <c r="E65" s="301">
        <f t="shared" ref="E65:G65" si="15">E63</f>
        <v>3870000</v>
      </c>
      <c r="F65" s="301">
        <f t="shared" si="15"/>
        <v>3870000</v>
      </c>
      <c r="G65" s="301">
        <f t="shared" si="15"/>
        <v>7740000</v>
      </c>
    </row>
    <row r="68" spans="1:7" x14ac:dyDescent="0.3">
      <c r="A68" s="611" t="s">
        <v>149</v>
      </c>
    </row>
    <row r="69" spans="1:7" x14ac:dyDescent="0.3">
      <c r="B69" s="768" t="s">
        <v>9</v>
      </c>
      <c r="C69" s="768" t="s">
        <v>274</v>
      </c>
    </row>
    <row r="70" spans="1:7" x14ac:dyDescent="0.3">
      <c r="B70" s="768" t="s">
        <v>11</v>
      </c>
      <c r="C70" s="768" t="s">
        <v>453</v>
      </c>
    </row>
    <row r="71" spans="1:7" x14ac:dyDescent="0.3">
      <c r="B71" s="768" t="s">
        <v>13</v>
      </c>
      <c r="C71" s="768" t="s">
        <v>474</v>
      </c>
    </row>
    <row r="72" spans="1:7" x14ac:dyDescent="0.3">
      <c r="B72" s="768" t="s">
        <v>15</v>
      </c>
      <c r="C72" s="768" t="s">
        <v>454</v>
      </c>
    </row>
    <row r="74" spans="1:7" x14ac:dyDescent="0.3">
      <c r="A74" s="611" t="s">
        <v>213</v>
      </c>
    </row>
    <row r="75" spans="1:7" x14ac:dyDescent="0.3">
      <c r="B75" s="768" t="s">
        <v>9</v>
      </c>
      <c r="C75" s="768" t="s">
        <v>285</v>
      </c>
    </row>
    <row r="76" spans="1:7" x14ac:dyDescent="0.3">
      <c r="B76" s="768" t="s">
        <v>11</v>
      </c>
      <c r="C76" s="768" t="s">
        <v>285</v>
      </c>
    </row>
    <row r="77" spans="1:7" x14ac:dyDescent="0.3">
      <c r="B77" s="768" t="s">
        <v>13</v>
      </c>
      <c r="C77" s="768" t="s">
        <v>285</v>
      </c>
    </row>
    <row r="78" spans="1:7" x14ac:dyDescent="0.3">
      <c r="B78" s="768" t="s">
        <v>15</v>
      </c>
      <c r="C78" s="768" t="s">
        <v>285</v>
      </c>
    </row>
  </sheetData>
  <pageMargins left="0.7" right="0.7" top="0.75" bottom="0.75" header="0.3" footer="0.3"/>
  <pageSetup orientation="portrait" horizontalDpi="4294967293"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W78"/>
  <sheetViews>
    <sheetView topLeftCell="A22" zoomScaleNormal="100" zoomScalePageLayoutView="70" workbookViewId="0">
      <selection activeCell="G62" sqref="G62"/>
    </sheetView>
  </sheetViews>
  <sheetFormatPr defaultColWidth="8.88671875" defaultRowHeight="14.4" x14ac:dyDescent="0.3"/>
  <cols>
    <col min="1" max="1" width="3.88671875" style="5" customWidth="1"/>
    <col min="2" max="2" width="6.33203125" style="5" customWidth="1"/>
    <col min="3" max="3" width="53" style="5" customWidth="1"/>
    <col min="4" max="4" width="13.44140625" style="5" customWidth="1"/>
    <col min="5" max="5" width="15.88671875" style="5" customWidth="1"/>
    <col min="6" max="6" width="19.33203125" style="5" customWidth="1"/>
    <col min="7" max="7" width="18.109375" style="5" customWidth="1"/>
    <col min="8" max="8" width="18" style="5" customWidth="1"/>
    <col min="9" max="16384" width="8.88671875" style="5"/>
  </cols>
  <sheetData>
    <row r="1" spans="1:23" s="10" customFormat="1" ht="15" x14ac:dyDescent="0.25">
      <c r="A1" s="439" t="s">
        <v>365</v>
      </c>
    </row>
    <row r="2" spans="1:23" s="10" customFormat="1" ht="15" x14ac:dyDescent="0.25"/>
    <row r="3" spans="1:23" s="10" customFormat="1" ht="15" x14ac:dyDescent="0.25">
      <c r="A3" s="11" t="s">
        <v>110</v>
      </c>
      <c r="D3" s="10" t="s">
        <v>66</v>
      </c>
      <c r="E3" s="10">
        <v>1</v>
      </c>
      <c r="F3" s="10">
        <v>10</v>
      </c>
      <c r="G3" s="10">
        <v>50</v>
      </c>
      <c r="H3" s="10">
        <v>100</v>
      </c>
    </row>
    <row r="4" spans="1:23" s="10" customFormat="1" ht="15" x14ac:dyDescent="0.25">
      <c r="A4" s="11"/>
      <c r="B4" s="10" t="s">
        <v>9</v>
      </c>
      <c r="C4" s="10" t="s">
        <v>12</v>
      </c>
      <c r="E4" s="41">
        <f>D39</f>
        <v>1010000</v>
      </c>
      <c r="F4" s="474">
        <f t="shared" ref="F4:H4" si="0">E39</f>
        <v>2000000</v>
      </c>
      <c r="G4" s="474">
        <f t="shared" si="0"/>
        <v>9580000</v>
      </c>
      <c r="H4" s="474">
        <f t="shared" si="0"/>
        <v>22100000</v>
      </c>
    </row>
    <row r="5" spans="1:23" s="10" customFormat="1" ht="15" x14ac:dyDescent="0.25">
      <c r="A5" s="11"/>
      <c r="B5" s="10" t="s">
        <v>11</v>
      </c>
      <c r="C5" s="10" t="s">
        <v>150</v>
      </c>
      <c r="E5" s="41">
        <f>D47</f>
        <v>101000</v>
      </c>
      <c r="F5" s="416">
        <f t="shared" ref="F5:H5" si="1">E47</f>
        <v>200000</v>
      </c>
      <c r="G5" s="416">
        <f t="shared" si="1"/>
        <v>958000</v>
      </c>
      <c r="H5" s="416">
        <f t="shared" si="1"/>
        <v>2210000</v>
      </c>
    </row>
    <row r="6" spans="1:23" s="66" customFormat="1" ht="36" x14ac:dyDescent="0.55000000000000004">
      <c r="A6" s="59"/>
      <c r="B6" s="66" t="s">
        <v>13</v>
      </c>
      <c r="C6" s="66" t="s">
        <v>14</v>
      </c>
      <c r="E6" s="300">
        <f>D54</f>
        <v>0</v>
      </c>
      <c r="F6" s="416">
        <f t="shared" ref="F6:H6" si="2">E54</f>
        <v>0</v>
      </c>
      <c r="G6" s="416">
        <f t="shared" si="2"/>
        <v>0</v>
      </c>
      <c r="H6" s="416">
        <f t="shared" si="2"/>
        <v>0</v>
      </c>
      <c r="W6" s="777"/>
    </row>
    <row r="7" spans="1:23" s="66" customFormat="1" ht="15" x14ac:dyDescent="0.25">
      <c r="A7" s="59"/>
      <c r="B7" s="66" t="s">
        <v>15</v>
      </c>
      <c r="C7" s="66" t="s">
        <v>59</v>
      </c>
      <c r="E7" s="41">
        <f>D65</f>
        <v>0</v>
      </c>
      <c r="F7" s="416">
        <f t="shared" ref="F7:H7" si="3">E65</f>
        <v>5650000</v>
      </c>
      <c r="G7" s="416">
        <f t="shared" si="3"/>
        <v>5650000</v>
      </c>
      <c r="H7" s="416">
        <f t="shared" si="3"/>
        <v>11300000</v>
      </c>
    </row>
    <row r="8" spans="1:23" s="66" customFormat="1" ht="15" x14ac:dyDescent="0.25">
      <c r="A8" s="59"/>
      <c r="B8" s="66" t="s">
        <v>16</v>
      </c>
      <c r="C8" s="66" t="s">
        <v>17</v>
      </c>
      <c r="E8" s="64"/>
      <c r="F8" s="64"/>
      <c r="G8" s="64"/>
      <c r="H8" s="64"/>
    </row>
    <row r="9" spans="1:23" s="66" customFormat="1" ht="15" x14ac:dyDescent="0.25">
      <c r="A9" s="59"/>
      <c r="D9" s="41"/>
      <c r="E9" s="41"/>
      <c r="F9" s="41"/>
      <c r="G9" s="41"/>
    </row>
    <row r="10" spans="1:23" s="66" customFormat="1" ht="15" x14ac:dyDescent="0.25">
      <c r="A10" s="59"/>
      <c r="B10" s="189"/>
      <c r="C10" s="189" t="s">
        <v>99</v>
      </c>
      <c r="D10" s="190"/>
      <c r="E10" s="190">
        <f>SUM(E4:E8)</f>
        <v>1111000</v>
      </c>
      <c r="F10" s="301">
        <f t="shared" ref="F10:H10" si="4">SUM(F4:F8)</f>
        <v>7850000</v>
      </c>
      <c r="G10" s="301">
        <f t="shared" si="4"/>
        <v>16188000</v>
      </c>
      <c r="H10" s="301">
        <f t="shared" si="4"/>
        <v>35610000</v>
      </c>
    </row>
    <row r="11" spans="1:23" s="66" customFormat="1" ht="15" x14ac:dyDescent="0.25">
      <c r="A11" s="59"/>
      <c r="D11" s="41"/>
      <c r="E11" s="41"/>
      <c r="F11" s="41"/>
      <c r="G11" s="41"/>
    </row>
    <row r="12" spans="1:23" s="10" customFormat="1" ht="15" x14ac:dyDescent="0.25"/>
    <row r="13" spans="1:23" s="10" customFormat="1" ht="15" x14ac:dyDescent="0.25"/>
    <row r="14" spans="1:23" ht="15" x14ac:dyDescent="0.25">
      <c r="A14" s="8"/>
      <c r="B14" s="8"/>
    </row>
    <row r="15" spans="1:23" ht="15" x14ac:dyDescent="0.25">
      <c r="A15" s="59" t="s">
        <v>250</v>
      </c>
      <c r="E15" s="419" t="s">
        <v>260</v>
      </c>
      <c r="F15" s="5" t="s">
        <v>66</v>
      </c>
    </row>
    <row r="16" spans="1:23" s="410" customFormat="1" ht="15" x14ac:dyDescent="0.25">
      <c r="A16" s="411"/>
      <c r="D16" s="518">
        <v>1</v>
      </c>
      <c r="E16" s="518">
        <v>10</v>
      </c>
      <c r="F16" s="518">
        <v>50</v>
      </c>
      <c r="G16" s="518">
        <v>100</v>
      </c>
    </row>
    <row r="17" spans="1:7" s="489" customFormat="1" ht="15" x14ac:dyDescent="0.25">
      <c r="A17" s="439"/>
      <c r="B17" s="489" t="s">
        <v>258</v>
      </c>
      <c r="D17" s="82"/>
      <c r="E17" s="95"/>
      <c r="F17" s="419"/>
      <c r="G17" s="419"/>
    </row>
    <row r="18" spans="1:7" s="489" customFormat="1" ht="15" x14ac:dyDescent="0.25">
      <c r="A18" s="439"/>
      <c r="C18" s="489" t="s">
        <v>259</v>
      </c>
      <c r="D18" s="518">
        <v>350</v>
      </c>
      <c r="E18" s="518">
        <v>350</v>
      </c>
      <c r="F18" s="518">
        <v>350</v>
      </c>
      <c r="G18" s="518">
        <v>350</v>
      </c>
    </row>
    <row r="19" spans="1:7" s="489" customFormat="1" ht="15" x14ac:dyDescent="0.25">
      <c r="A19" s="439"/>
      <c r="C19" s="489" t="s">
        <v>261</v>
      </c>
      <c r="D19" s="519">
        <f>D18*D16/1000</f>
        <v>0.35</v>
      </c>
      <c r="E19" s="519">
        <f t="shared" ref="E19:G19" si="5">E18*E16/1000</f>
        <v>3.5</v>
      </c>
      <c r="F19" s="519">
        <f t="shared" si="5"/>
        <v>17.5</v>
      </c>
      <c r="G19" s="519">
        <f t="shared" si="5"/>
        <v>35</v>
      </c>
    </row>
    <row r="20" spans="1:7" s="489" customFormat="1" ht="15" x14ac:dyDescent="0.25">
      <c r="A20" s="439"/>
      <c r="C20" s="489" t="s">
        <v>262</v>
      </c>
      <c r="D20" s="519">
        <f>D19*1.2</f>
        <v>0.42</v>
      </c>
      <c r="E20" s="519">
        <f t="shared" ref="E20:G20" si="6">E19*1.2</f>
        <v>4.2</v>
      </c>
      <c r="F20" s="519">
        <f t="shared" si="6"/>
        <v>21</v>
      </c>
      <c r="G20" s="519">
        <f t="shared" si="6"/>
        <v>42</v>
      </c>
    </row>
    <row r="21" spans="1:7" s="489" customFormat="1" ht="15" x14ac:dyDescent="0.25">
      <c r="A21" s="439"/>
      <c r="D21" s="82"/>
      <c r="E21" s="95"/>
      <c r="F21" s="419"/>
      <c r="G21" s="419"/>
    </row>
    <row r="22" spans="1:7" s="489" customFormat="1" ht="15" x14ac:dyDescent="0.25">
      <c r="A22" s="439"/>
      <c r="B22" s="489" t="s">
        <v>256</v>
      </c>
      <c r="F22" s="419"/>
      <c r="G22" s="419"/>
    </row>
    <row r="23" spans="1:7" s="489" customFormat="1" ht="15" x14ac:dyDescent="0.25">
      <c r="A23" s="439"/>
      <c r="C23" s="489" t="s">
        <v>257</v>
      </c>
      <c r="D23" s="448">
        <v>5000</v>
      </c>
      <c r="E23" s="489">
        <v>5000</v>
      </c>
      <c r="F23" s="419">
        <v>5000</v>
      </c>
      <c r="G23" s="419">
        <v>5000</v>
      </c>
    </row>
    <row r="24" spans="1:7" s="489" customFormat="1" ht="15" x14ac:dyDescent="0.25">
      <c r="A24" s="439"/>
      <c r="C24" s="489" t="s">
        <v>264</v>
      </c>
      <c r="D24" s="448">
        <v>0</v>
      </c>
      <c r="E24" s="489">
        <v>0</v>
      </c>
      <c r="F24" s="489">
        <f>(F16-20)/2*800</f>
        <v>12000</v>
      </c>
      <c r="G24" s="489">
        <f>(G16-20)/2*800</f>
        <v>32000</v>
      </c>
    </row>
    <row r="25" spans="1:7" s="489" customFormat="1" ht="15" x14ac:dyDescent="0.25">
      <c r="A25" s="439"/>
      <c r="C25" s="489" t="s">
        <v>263</v>
      </c>
      <c r="D25" s="448">
        <f>(D23+D24)*1.2</f>
        <v>6000</v>
      </c>
      <c r="E25" s="448">
        <f t="shared" ref="E25:G25" si="7">(E23+E24)*1.2</f>
        <v>6000</v>
      </c>
      <c r="F25" s="448">
        <f t="shared" si="7"/>
        <v>20400</v>
      </c>
      <c r="G25" s="448">
        <f t="shared" si="7"/>
        <v>44400</v>
      </c>
    </row>
    <row r="26" spans="1:7" s="489" customFormat="1" ht="15" x14ac:dyDescent="0.25">
      <c r="A26" s="439"/>
      <c r="D26" s="448"/>
      <c r="F26" s="419"/>
      <c r="G26" s="419"/>
    </row>
    <row r="27" spans="1:7" s="489" customFormat="1" ht="15" x14ac:dyDescent="0.25">
      <c r="A27" s="439"/>
      <c r="B27" s="489" t="s">
        <v>269</v>
      </c>
      <c r="F27" s="419"/>
      <c r="G27" s="419"/>
    </row>
    <row r="28" spans="1:7" s="489" customFormat="1" ht="15" x14ac:dyDescent="0.25">
      <c r="A28" s="439"/>
      <c r="C28" s="489" t="s">
        <v>265</v>
      </c>
      <c r="D28" s="448">
        <f>800+50*2*2</f>
        <v>1000</v>
      </c>
      <c r="E28" s="448">
        <f>800+50*2*2</f>
        <v>1000</v>
      </c>
      <c r="F28" s="448">
        <f>800+50*2*2</f>
        <v>1000</v>
      </c>
      <c r="G28" s="448">
        <f>800+50*2*2</f>
        <v>1000</v>
      </c>
    </row>
    <row r="29" spans="1:7" s="489" customFormat="1" ht="15" x14ac:dyDescent="0.25">
      <c r="A29" s="439"/>
      <c r="C29" s="489" t="s">
        <v>266</v>
      </c>
      <c r="D29" s="489">
        <f>D28*D16</f>
        <v>1000</v>
      </c>
      <c r="E29" s="489">
        <f t="shared" ref="E29:G29" si="8">E28*E16</f>
        <v>10000</v>
      </c>
      <c r="F29" s="489">
        <f t="shared" si="8"/>
        <v>50000</v>
      </c>
      <c r="G29" s="489">
        <f t="shared" si="8"/>
        <v>100000</v>
      </c>
    </row>
    <row r="30" spans="1:7" s="489" customFormat="1" ht="15" x14ac:dyDescent="0.25">
      <c r="A30" s="439"/>
      <c r="D30" s="448"/>
      <c r="F30" s="419"/>
      <c r="G30" s="419"/>
    </row>
    <row r="31" spans="1:7" s="489" customFormat="1" ht="15" x14ac:dyDescent="0.25">
      <c r="A31" s="439"/>
      <c r="B31" s="489" t="s">
        <v>267</v>
      </c>
      <c r="F31" s="419"/>
      <c r="G31" s="419"/>
    </row>
    <row r="32" spans="1:7" s="489" customFormat="1" ht="15" x14ac:dyDescent="0.25">
      <c r="A32" s="439"/>
      <c r="C32" s="489" t="s">
        <v>270</v>
      </c>
      <c r="D32" s="413">
        <v>150</v>
      </c>
      <c r="E32" s="413">
        <v>150</v>
      </c>
      <c r="F32" s="521">
        <v>200</v>
      </c>
      <c r="G32" s="521">
        <v>250</v>
      </c>
    </row>
    <row r="33" spans="1:8" s="489" customFormat="1" ht="15" x14ac:dyDescent="0.25">
      <c r="A33" s="439"/>
      <c r="C33" s="489" t="s">
        <v>888</v>
      </c>
      <c r="D33" s="521">
        <v>110</v>
      </c>
      <c r="E33" s="521">
        <v>110</v>
      </c>
      <c r="F33" s="521">
        <v>110</v>
      </c>
      <c r="G33" s="521">
        <v>110</v>
      </c>
      <c r="H33" s="489" t="s">
        <v>757</v>
      </c>
    </row>
    <row r="34" spans="1:8" s="489" customFormat="1" ht="15" x14ac:dyDescent="0.25">
      <c r="A34" s="439"/>
      <c r="C34" s="417"/>
      <c r="D34" s="413"/>
      <c r="E34" s="413"/>
      <c r="F34" s="521"/>
      <c r="G34" s="521"/>
    </row>
    <row r="35" spans="1:8" s="489" customFormat="1" ht="15" x14ac:dyDescent="0.25">
      <c r="A35" s="439"/>
      <c r="B35" s="489" t="s">
        <v>80</v>
      </c>
      <c r="D35" s="413"/>
      <c r="E35" s="413"/>
      <c r="F35" s="521"/>
      <c r="G35" s="521"/>
    </row>
    <row r="36" spans="1:8" s="489" customFormat="1" ht="15" x14ac:dyDescent="0.25">
      <c r="A36" s="439"/>
      <c r="C36" s="489" t="s">
        <v>268</v>
      </c>
      <c r="D36" s="413">
        <f>D32*D25</f>
        <v>900000</v>
      </c>
      <c r="E36" s="413">
        <f t="shared" ref="E36:G36" si="9">E32*E25</f>
        <v>900000</v>
      </c>
      <c r="F36" s="413">
        <f t="shared" si="9"/>
        <v>4080000</v>
      </c>
      <c r="G36" s="413">
        <f t="shared" si="9"/>
        <v>11100000</v>
      </c>
    </row>
    <row r="37" spans="1:8" s="489" customFormat="1" ht="15" x14ac:dyDescent="0.25">
      <c r="A37" s="439"/>
      <c r="C37" s="489" t="s">
        <v>271</v>
      </c>
      <c r="D37" s="413">
        <f>D33*D29</f>
        <v>110000</v>
      </c>
      <c r="E37" s="413">
        <f t="shared" ref="E37:G37" si="10">E33*E29</f>
        <v>1100000</v>
      </c>
      <c r="F37" s="413">
        <f t="shared" si="10"/>
        <v>5500000</v>
      </c>
      <c r="G37" s="413">
        <f t="shared" si="10"/>
        <v>11000000</v>
      </c>
    </row>
    <row r="38" spans="1:8" s="489" customFormat="1" ht="15" x14ac:dyDescent="0.25">
      <c r="A38" s="439"/>
      <c r="C38" s="492"/>
      <c r="D38" s="366"/>
      <c r="E38" s="413"/>
      <c r="F38" s="521"/>
      <c r="G38" s="521"/>
    </row>
    <row r="39" spans="1:8" s="489" customFormat="1" ht="15" x14ac:dyDescent="0.25">
      <c r="A39" s="439"/>
      <c r="C39" s="78" t="s">
        <v>81</v>
      </c>
      <c r="D39" s="201">
        <f>D37+D36</f>
        <v>1010000</v>
      </c>
      <c r="E39" s="201">
        <f t="shared" ref="E39:G39" si="11">E37+E36</f>
        <v>2000000</v>
      </c>
      <c r="F39" s="201">
        <f t="shared" si="11"/>
        <v>9580000</v>
      </c>
      <c r="G39" s="201">
        <f t="shared" si="11"/>
        <v>22100000</v>
      </c>
    </row>
    <row r="40" spans="1:8" s="489" customFormat="1" ht="15" x14ac:dyDescent="0.25">
      <c r="A40" s="439"/>
      <c r="C40" s="492"/>
      <c r="D40" s="492"/>
      <c r="F40" s="419"/>
      <c r="G40" s="419"/>
    </row>
    <row r="42" spans="1:8" ht="15" x14ac:dyDescent="0.25">
      <c r="A42" s="59" t="s">
        <v>151</v>
      </c>
      <c r="B42" s="59"/>
      <c r="C42" s="59"/>
    </row>
    <row r="43" spans="1:8" s="410" customFormat="1" ht="15" x14ac:dyDescent="0.25">
      <c r="A43" s="411"/>
      <c r="B43" s="411"/>
      <c r="C43" s="411"/>
      <c r="D43" s="82" t="s">
        <v>85</v>
      </c>
      <c r="E43" s="95" t="s">
        <v>107</v>
      </c>
      <c r="F43" s="63" t="s">
        <v>109</v>
      </c>
      <c r="G43" s="63" t="s">
        <v>108</v>
      </c>
    </row>
    <row r="44" spans="1:8" s="70" customFormat="1" ht="15" x14ac:dyDescent="0.25">
      <c r="D44" s="194"/>
      <c r="E44" s="194"/>
      <c r="F44" s="194"/>
      <c r="G44" s="194"/>
    </row>
    <row r="45" spans="1:8" s="70" customFormat="1" x14ac:dyDescent="0.3">
      <c r="C45" s="70" t="s">
        <v>272</v>
      </c>
      <c r="D45" s="173">
        <f>10%*D39</f>
        <v>101000</v>
      </c>
      <c r="E45" s="173">
        <f t="shared" ref="E45:G45" si="12">10%*E39</f>
        <v>200000</v>
      </c>
      <c r="F45" s="173">
        <f t="shared" si="12"/>
        <v>958000</v>
      </c>
      <c r="G45" s="173">
        <f t="shared" si="12"/>
        <v>2210000</v>
      </c>
    </row>
    <row r="46" spans="1:8" s="70" customFormat="1" x14ac:dyDescent="0.3">
      <c r="D46" s="41"/>
      <c r="E46" s="45"/>
    </row>
    <row r="47" spans="1:8" s="70" customFormat="1" x14ac:dyDescent="0.3">
      <c r="C47" s="18" t="s">
        <v>79</v>
      </c>
      <c r="D47" s="19">
        <f>SUM(D45:D46)</f>
        <v>101000</v>
      </c>
      <c r="E47" s="301">
        <f t="shared" ref="E47:G47" si="13">SUM(E45:E46)</f>
        <v>200000</v>
      </c>
      <c r="F47" s="301">
        <f t="shared" si="13"/>
        <v>958000</v>
      </c>
      <c r="G47" s="301">
        <f t="shared" si="13"/>
        <v>2210000</v>
      </c>
    </row>
    <row r="48" spans="1:8" x14ac:dyDescent="0.3">
      <c r="D48" s="6"/>
    </row>
    <row r="49" spans="1:8" x14ac:dyDescent="0.3">
      <c r="A49" s="59" t="s">
        <v>134</v>
      </c>
      <c r="B49" s="59"/>
      <c r="D49" s="6"/>
    </row>
    <row r="50" spans="1:8" s="410" customFormat="1" x14ac:dyDescent="0.3">
      <c r="A50" s="411"/>
      <c r="B50" s="411"/>
      <c r="D50" s="82" t="s">
        <v>85</v>
      </c>
      <c r="E50" s="419" t="s">
        <v>107</v>
      </c>
      <c r="F50" s="419" t="s">
        <v>109</v>
      </c>
      <c r="G50" s="419" t="s">
        <v>108</v>
      </c>
    </row>
    <row r="51" spans="1:8" s="410" customFormat="1" x14ac:dyDescent="0.3">
      <c r="A51" s="411"/>
      <c r="B51" s="411"/>
      <c r="D51" s="416"/>
    </row>
    <row r="52" spans="1:8" s="410" customFormat="1" x14ac:dyDescent="0.3">
      <c r="A52" s="411"/>
      <c r="B52" s="411"/>
      <c r="C52" s="410" t="s">
        <v>273</v>
      </c>
      <c r="D52" s="416"/>
    </row>
    <row r="53" spans="1:8" s="410" customFormat="1" x14ac:dyDescent="0.3">
      <c r="A53" s="411"/>
      <c r="B53" s="411"/>
      <c r="D53" s="416"/>
    </row>
    <row r="54" spans="1:8" s="70" customFormat="1" x14ac:dyDescent="0.3">
      <c r="C54" s="298" t="s">
        <v>79</v>
      </c>
      <c r="D54" s="301">
        <v>0</v>
      </c>
      <c r="E54" s="301">
        <v>0</v>
      </c>
      <c r="F54" s="301">
        <v>0</v>
      </c>
      <c r="G54" s="301">
        <v>0</v>
      </c>
    </row>
    <row r="55" spans="1:8" s="10" customFormat="1" x14ac:dyDescent="0.3">
      <c r="D55" s="16"/>
    </row>
    <row r="56" spans="1:8" s="10" customFormat="1" x14ac:dyDescent="0.3">
      <c r="A56" s="59" t="s">
        <v>135</v>
      </c>
      <c r="B56" s="59"/>
      <c r="D56" s="16"/>
    </row>
    <row r="57" spans="1:8" s="410" customFormat="1" x14ac:dyDescent="0.3">
      <c r="A57" s="411"/>
      <c r="B57" s="411"/>
      <c r="C57" s="411"/>
      <c r="D57" s="82" t="s">
        <v>85</v>
      </c>
      <c r="E57" s="95" t="s">
        <v>107</v>
      </c>
      <c r="F57" s="401" t="s">
        <v>109</v>
      </c>
      <c r="G57" s="401" t="s">
        <v>108</v>
      </c>
    </row>
    <row r="58" spans="1:8" s="489" customFormat="1" x14ac:dyDescent="0.3">
      <c r="A58" s="439"/>
      <c r="B58" s="417" t="s">
        <v>312</v>
      </c>
      <c r="C58" s="439"/>
      <c r="D58" s="82"/>
      <c r="E58" s="95"/>
      <c r="F58" s="419"/>
      <c r="G58" s="419"/>
    </row>
    <row r="59" spans="1:8" s="489" customFormat="1" x14ac:dyDescent="0.3">
      <c r="A59" s="439"/>
      <c r="B59" s="417" t="s">
        <v>396</v>
      </c>
      <c r="C59" s="439"/>
      <c r="D59" s="82"/>
      <c r="E59" s="95"/>
      <c r="F59" s="419"/>
      <c r="G59" s="419"/>
    </row>
    <row r="60" spans="1:8" s="410" customFormat="1" x14ac:dyDescent="0.3">
      <c r="A60" s="411"/>
      <c r="B60" s="417" t="s">
        <v>397</v>
      </c>
      <c r="D60" s="402"/>
      <c r="E60" s="402"/>
      <c r="F60" s="402"/>
      <c r="G60" s="402"/>
    </row>
    <row r="61" spans="1:8" s="489" customFormat="1" x14ac:dyDescent="0.3">
      <c r="A61" s="439"/>
      <c r="B61" s="417" t="s">
        <v>398</v>
      </c>
      <c r="D61" s="402"/>
      <c r="E61" s="402"/>
      <c r="F61" s="402"/>
      <c r="G61" s="402"/>
    </row>
    <row r="62" spans="1:8" s="489" customFormat="1" x14ac:dyDescent="0.3">
      <c r="A62" s="439"/>
      <c r="B62" s="439"/>
      <c r="D62" s="402"/>
      <c r="E62" s="402"/>
      <c r="F62" s="402"/>
      <c r="G62" s="402"/>
    </row>
    <row r="63" spans="1:8" s="410" customFormat="1" x14ac:dyDescent="0.3">
      <c r="A63" s="411"/>
      <c r="B63" s="411"/>
      <c r="C63" s="410" t="s">
        <v>376</v>
      </c>
      <c r="D63" s="173"/>
      <c r="E63" s="173">
        <f>5650000</f>
        <v>5650000</v>
      </c>
      <c r="F63" s="527">
        <f>E63</f>
        <v>5650000</v>
      </c>
      <c r="G63" s="173">
        <f>F63*2</f>
        <v>11300000</v>
      </c>
      <c r="H63" s="611" t="s">
        <v>782</v>
      </c>
    </row>
    <row r="64" spans="1:8" s="410" customFormat="1" x14ac:dyDescent="0.3">
      <c r="A64" s="411"/>
      <c r="B64" s="411"/>
      <c r="D64" s="416"/>
      <c r="E64" s="400"/>
    </row>
    <row r="65" spans="1:7" x14ac:dyDescent="0.3">
      <c r="C65" s="298" t="s">
        <v>79</v>
      </c>
      <c r="D65" s="301">
        <f>D63</f>
        <v>0</v>
      </c>
      <c r="E65" s="301">
        <f t="shared" ref="E65:G65" si="14">E63</f>
        <v>5650000</v>
      </c>
      <c r="F65" s="301">
        <f t="shared" si="14"/>
        <v>5650000</v>
      </c>
      <c r="G65" s="301">
        <f t="shared" si="14"/>
        <v>11300000</v>
      </c>
    </row>
    <row r="67" spans="1:7" s="263" customFormat="1" x14ac:dyDescent="0.3"/>
    <row r="68" spans="1:7" s="263" customFormat="1" x14ac:dyDescent="0.3">
      <c r="A68" s="611" t="s">
        <v>149</v>
      </c>
    </row>
    <row r="69" spans="1:7" s="263" customFormat="1" x14ac:dyDescent="0.3">
      <c r="B69" s="610" t="s">
        <v>9</v>
      </c>
      <c r="C69" s="263" t="s">
        <v>758</v>
      </c>
    </row>
    <row r="70" spans="1:7" s="263" customFormat="1" x14ac:dyDescent="0.3">
      <c r="B70" s="610" t="s">
        <v>11</v>
      </c>
      <c r="C70" s="612" t="s">
        <v>453</v>
      </c>
    </row>
    <row r="71" spans="1:7" s="263" customFormat="1" x14ac:dyDescent="0.3">
      <c r="B71" s="610" t="s">
        <v>13</v>
      </c>
      <c r="C71" s="614" t="s">
        <v>474</v>
      </c>
    </row>
    <row r="72" spans="1:7" x14ac:dyDescent="0.3">
      <c r="B72" s="610" t="s">
        <v>15</v>
      </c>
      <c r="C72" s="5" t="s">
        <v>454</v>
      </c>
    </row>
    <row r="74" spans="1:7" x14ac:dyDescent="0.3">
      <c r="A74" s="183" t="s">
        <v>213</v>
      </c>
      <c r="B74" s="263"/>
      <c r="C74" s="263"/>
    </row>
    <row r="75" spans="1:7" x14ac:dyDescent="0.3">
      <c r="A75" s="263"/>
      <c r="B75" s="263" t="s">
        <v>9</v>
      </c>
      <c r="C75" s="5" t="s">
        <v>285</v>
      </c>
    </row>
    <row r="76" spans="1:7" x14ac:dyDescent="0.3">
      <c r="A76" s="263"/>
      <c r="B76" s="263" t="s">
        <v>11</v>
      </c>
      <c r="C76" s="263" t="s">
        <v>285</v>
      </c>
    </row>
    <row r="77" spans="1:7" x14ac:dyDescent="0.3">
      <c r="A77" s="263"/>
      <c r="B77" s="263" t="s">
        <v>13</v>
      </c>
      <c r="C77" s="263" t="s">
        <v>783</v>
      </c>
    </row>
    <row r="78" spans="1:7" x14ac:dyDescent="0.3">
      <c r="A78" s="263"/>
      <c r="B78" s="263" t="s">
        <v>15</v>
      </c>
      <c r="C78" s="263" t="s">
        <v>285</v>
      </c>
    </row>
  </sheetData>
  <pageMargins left="0.7" right="0.7" top="0.75" bottom="0.75" header="0.3" footer="0.3"/>
  <pageSetup orientation="portrait" horizontalDpi="4294967293" verticalDpi="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S57"/>
  <sheetViews>
    <sheetView zoomScale="90" zoomScaleNormal="90" zoomScalePageLayoutView="125" workbookViewId="0">
      <selection activeCell="B16" sqref="B16"/>
    </sheetView>
  </sheetViews>
  <sheetFormatPr defaultColWidth="8.88671875" defaultRowHeight="14.4" x14ac:dyDescent="0.3"/>
  <cols>
    <col min="1" max="1" width="5.88671875" customWidth="1"/>
    <col min="2" max="2" width="5.6640625" customWidth="1"/>
    <col min="3" max="3" width="53.44140625" customWidth="1"/>
    <col min="4" max="4" width="11.44140625" customWidth="1"/>
    <col min="5" max="5" width="15" bestFit="1" customWidth="1"/>
    <col min="6" max="7" width="16.109375" bestFit="1" customWidth="1"/>
    <col min="8" max="8" width="17.33203125" bestFit="1" customWidth="1"/>
  </cols>
  <sheetData>
    <row r="1" spans="1:19" ht="15" x14ac:dyDescent="0.25">
      <c r="A1" s="439" t="s">
        <v>366</v>
      </c>
      <c r="B1" s="66"/>
      <c r="C1" s="66"/>
      <c r="D1" s="66"/>
      <c r="E1" s="66"/>
      <c r="F1" s="66"/>
      <c r="G1" s="66"/>
      <c r="H1" s="66"/>
      <c r="I1" s="66"/>
    </row>
    <row r="2" spans="1:19" ht="15" x14ac:dyDescent="0.25">
      <c r="A2" s="66"/>
      <c r="B2" s="66"/>
      <c r="C2" s="66"/>
      <c r="D2" s="66"/>
      <c r="E2" s="66"/>
      <c r="F2" s="66"/>
      <c r="G2" s="66"/>
      <c r="H2" s="66"/>
      <c r="I2" s="66"/>
    </row>
    <row r="3" spans="1:19" ht="15" x14ac:dyDescent="0.25">
      <c r="A3" s="59" t="s">
        <v>110</v>
      </c>
      <c r="B3" s="66"/>
      <c r="C3" s="66"/>
      <c r="D3" s="66" t="s">
        <v>66</v>
      </c>
      <c r="E3" s="66">
        <v>1</v>
      </c>
      <c r="F3" s="66">
        <v>10</v>
      </c>
      <c r="G3" s="66">
        <v>50</v>
      </c>
      <c r="H3" s="66">
        <v>100</v>
      </c>
      <c r="I3" s="66"/>
    </row>
    <row r="4" spans="1:19" ht="15" x14ac:dyDescent="0.25">
      <c r="A4" s="59"/>
      <c r="B4" s="66" t="s">
        <v>19</v>
      </c>
      <c r="C4" s="66" t="s">
        <v>20</v>
      </c>
      <c r="D4" s="66"/>
      <c r="E4" s="41">
        <f>E20</f>
        <v>182475</v>
      </c>
      <c r="F4" s="41">
        <f t="shared" ref="F4:H4" si="0">F20</f>
        <v>1642275</v>
      </c>
      <c r="G4" s="41">
        <f t="shared" si="0"/>
        <v>8211375</v>
      </c>
      <c r="H4" s="41">
        <f t="shared" si="0"/>
        <v>16422750</v>
      </c>
      <c r="I4" s="66"/>
      <c r="S4" s="489"/>
    </row>
    <row r="5" spans="1:19" ht="15" x14ac:dyDescent="0.25">
      <c r="A5" s="59"/>
      <c r="B5" s="66" t="s">
        <v>21</v>
      </c>
      <c r="C5" s="66" t="s">
        <v>22</v>
      </c>
      <c r="D5" s="66"/>
      <c r="E5" s="41">
        <f>E27</f>
        <v>180000</v>
      </c>
      <c r="F5" s="41">
        <f t="shared" ref="F5:H5" si="1">F27</f>
        <v>1620000</v>
      </c>
      <c r="G5" s="41">
        <f t="shared" si="1"/>
        <v>8100000</v>
      </c>
      <c r="H5" s="41">
        <f t="shared" si="1"/>
        <v>16200000</v>
      </c>
      <c r="I5" s="66"/>
      <c r="S5" s="489"/>
    </row>
    <row r="6" spans="1:19" s="489" customFormat="1" ht="15" x14ac:dyDescent="0.25">
      <c r="A6" s="439"/>
      <c r="B6" s="489" t="s">
        <v>23</v>
      </c>
      <c r="C6" s="489" t="s">
        <v>363</v>
      </c>
      <c r="E6" s="474">
        <f>E32</f>
        <v>60000</v>
      </c>
      <c r="F6" s="474">
        <f t="shared" ref="F6:H6" si="2">F32</f>
        <v>540000</v>
      </c>
      <c r="G6" s="474">
        <f t="shared" si="2"/>
        <v>2700000</v>
      </c>
      <c r="H6" s="474">
        <f t="shared" si="2"/>
        <v>5400000</v>
      </c>
    </row>
    <row r="7" spans="1:19" ht="15" x14ac:dyDescent="0.25">
      <c r="A7" s="59"/>
      <c r="B7" s="66" t="s">
        <v>23</v>
      </c>
      <c r="C7" s="437" t="s">
        <v>25</v>
      </c>
      <c r="D7" s="66"/>
      <c r="E7" s="300">
        <f>E44</f>
        <v>102300</v>
      </c>
      <c r="F7" s="474">
        <f t="shared" ref="F7:H7" si="3">F44</f>
        <v>920700</v>
      </c>
      <c r="G7" s="474">
        <f t="shared" si="3"/>
        <v>4603500</v>
      </c>
      <c r="H7" s="474">
        <f t="shared" si="3"/>
        <v>9207000</v>
      </c>
      <c r="I7" s="66"/>
      <c r="S7" s="489"/>
    </row>
    <row r="8" spans="1:19" s="489" customFormat="1" ht="15" x14ac:dyDescent="0.25">
      <c r="A8" s="439"/>
      <c r="B8" s="489" t="s">
        <v>24</v>
      </c>
      <c r="C8" s="489" t="s">
        <v>17</v>
      </c>
      <c r="E8" s="474"/>
      <c r="F8" s="474"/>
      <c r="G8" s="474"/>
      <c r="H8" s="474"/>
    </row>
    <row r="9" spans="1:19" ht="15" x14ac:dyDescent="0.25">
      <c r="A9" s="59"/>
      <c r="B9" s="66"/>
      <c r="C9" s="66"/>
      <c r="D9" s="41"/>
      <c r="E9" s="41"/>
      <c r="F9" s="41"/>
      <c r="G9" s="41"/>
      <c r="H9" s="66"/>
      <c r="I9" s="66"/>
      <c r="S9" s="489"/>
    </row>
    <row r="10" spans="1:19" ht="15" x14ac:dyDescent="0.25">
      <c r="A10" s="59"/>
      <c r="B10" s="18" t="s">
        <v>81</v>
      </c>
      <c r="C10" s="18"/>
      <c r="D10" s="19"/>
      <c r="E10" s="301">
        <f>SUM(E4:E7)</f>
        <v>524775</v>
      </c>
      <c r="F10" s="301">
        <f>SUM(F4:F7)</f>
        <v>4722975</v>
      </c>
      <c r="G10" s="301">
        <f>SUM(G4:G7)</f>
        <v>23614875</v>
      </c>
      <c r="H10" s="301">
        <f>SUM(H4:H7)</f>
        <v>47229750</v>
      </c>
      <c r="I10" s="66"/>
      <c r="S10" s="489"/>
    </row>
    <row r="11" spans="1:19" ht="15" x14ac:dyDescent="0.25">
      <c r="A11" s="59"/>
      <c r="B11" s="66"/>
      <c r="C11" s="66"/>
      <c r="D11" s="41"/>
      <c r="E11" s="41"/>
      <c r="F11" s="41"/>
      <c r="G11" s="41"/>
      <c r="H11" s="66"/>
      <c r="I11" s="66"/>
    </row>
    <row r="12" spans="1:19" s="437" customFormat="1" ht="15" x14ac:dyDescent="0.25">
      <c r="A12" s="439"/>
      <c r="D12" s="449"/>
      <c r="E12" s="449"/>
      <c r="F12" s="449"/>
      <c r="G12" s="449"/>
    </row>
    <row r="13" spans="1:19" s="437" customFormat="1" ht="15" x14ac:dyDescent="0.25">
      <c r="A13" s="439"/>
      <c r="D13" s="449"/>
      <c r="E13" s="449"/>
      <c r="F13" s="82" t="s">
        <v>260</v>
      </c>
      <c r="G13" s="449" t="s">
        <v>66</v>
      </c>
    </row>
    <row r="14" spans="1:19" ht="15" x14ac:dyDescent="0.25">
      <c r="A14" s="59" t="s">
        <v>136</v>
      </c>
      <c r="E14" s="518">
        <v>1</v>
      </c>
      <c r="F14" s="518">
        <v>10</v>
      </c>
      <c r="G14" s="518">
        <v>50</v>
      </c>
      <c r="H14" s="518">
        <v>100</v>
      </c>
    </row>
    <row r="15" spans="1:19" s="489" customFormat="1" ht="15" x14ac:dyDescent="0.25">
      <c r="A15" s="439"/>
      <c r="E15" s="82"/>
      <c r="F15" s="95"/>
      <c r="G15" s="419"/>
      <c r="H15" s="419"/>
    </row>
    <row r="16" spans="1:19" s="489" customFormat="1" ht="15" x14ac:dyDescent="0.25">
      <c r="A16" s="439"/>
      <c r="B16" s="489" t="s">
        <v>275</v>
      </c>
      <c r="E16" s="82">
        <v>27000</v>
      </c>
      <c r="F16" s="95">
        <f>0.9*E16*$F$14</f>
        <v>243000</v>
      </c>
      <c r="G16" s="95">
        <f>F16*5</f>
        <v>1215000</v>
      </c>
      <c r="H16" s="95">
        <f>G16*2</f>
        <v>2430000</v>
      </c>
    </row>
    <row r="17" spans="1:9" s="489" customFormat="1" ht="15" x14ac:dyDescent="0.25">
      <c r="A17" s="439"/>
      <c r="B17" s="489" t="s">
        <v>277</v>
      </c>
      <c r="E17" s="82">
        <v>43875</v>
      </c>
      <c r="F17" s="95">
        <f t="shared" ref="F17:F18" si="4">0.9*E17*$F$14</f>
        <v>394875</v>
      </c>
      <c r="G17" s="95">
        <f t="shared" ref="G17:G18" si="5">F17*5</f>
        <v>1974375</v>
      </c>
      <c r="H17" s="95">
        <f t="shared" ref="H17:H18" si="6">G17*2</f>
        <v>3948750</v>
      </c>
    </row>
    <row r="18" spans="1:9" s="489" customFormat="1" ht="15" x14ac:dyDescent="0.25">
      <c r="A18" s="439"/>
      <c r="B18" s="489" t="s">
        <v>278</v>
      </c>
      <c r="E18" s="82">
        <v>111600</v>
      </c>
      <c r="F18" s="95">
        <f t="shared" si="4"/>
        <v>1004400</v>
      </c>
      <c r="G18" s="95">
        <f t="shared" si="5"/>
        <v>5022000</v>
      </c>
      <c r="H18" s="95">
        <f t="shared" si="6"/>
        <v>10044000</v>
      </c>
    </row>
    <row r="20" spans="1:9" s="70" customFormat="1" ht="15" x14ac:dyDescent="0.25">
      <c r="B20" s="18" t="s">
        <v>81</v>
      </c>
      <c r="C20" s="18"/>
      <c r="D20" s="18"/>
      <c r="E20" s="19">
        <f>SUM(E16:E18)</f>
        <v>182475</v>
      </c>
      <c r="F20" s="301">
        <f>SUM(F16:F18)</f>
        <v>1642275</v>
      </c>
      <c r="G20" s="301">
        <f>SUM(G16:G18)</f>
        <v>8211375</v>
      </c>
      <c r="H20" s="301">
        <f>SUM(H16:H18)</f>
        <v>16422750</v>
      </c>
    </row>
    <row r="21" spans="1:9" s="437" customFormat="1" ht="15" x14ac:dyDescent="0.25">
      <c r="B21" s="438"/>
      <c r="C21" s="438"/>
      <c r="D21" s="438"/>
      <c r="E21" s="446"/>
      <c r="F21" s="446"/>
      <c r="G21" s="446"/>
      <c r="H21" s="446"/>
    </row>
    <row r="22" spans="1:9" ht="15" x14ac:dyDescent="0.25">
      <c r="F22" s="419" t="s">
        <v>260</v>
      </c>
      <c r="G22" t="s">
        <v>66</v>
      </c>
    </row>
    <row r="23" spans="1:9" ht="15" x14ac:dyDescent="0.25">
      <c r="A23" s="59" t="s">
        <v>137</v>
      </c>
      <c r="E23" s="518">
        <v>1</v>
      </c>
      <c r="F23" s="518">
        <v>10</v>
      </c>
      <c r="G23" s="518">
        <v>50</v>
      </c>
      <c r="H23" s="518">
        <v>100</v>
      </c>
    </row>
    <row r="24" spans="1:9" s="489" customFormat="1" ht="15" x14ac:dyDescent="0.25">
      <c r="A24" s="439"/>
      <c r="E24" s="82"/>
      <c r="F24" s="95"/>
      <c r="G24" s="419"/>
      <c r="H24" s="419"/>
    </row>
    <row r="25" spans="1:9" s="489" customFormat="1" ht="15" x14ac:dyDescent="0.25">
      <c r="A25" s="439"/>
      <c r="B25" s="489" t="s">
        <v>283</v>
      </c>
      <c r="E25" s="82">
        <v>180000</v>
      </c>
      <c r="F25" s="95">
        <f>0.9*E25*$F$14</f>
        <v>1620000</v>
      </c>
      <c r="G25" s="95">
        <f>F25*5</f>
        <v>8100000</v>
      </c>
      <c r="H25" s="95">
        <f>G25*2</f>
        <v>16200000</v>
      </c>
    </row>
    <row r="26" spans="1:9" s="70" customFormat="1" ht="15" x14ac:dyDescent="0.25">
      <c r="E26" s="41"/>
      <c r="F26" s="41"/>
      <c r="G26" s="41"/>
      <c r="H26" s="41"/>
    </row>
    <row r="27" spans="1:9" s="70" customFormat="1" x14ac:dyDescent="0.3">
      <c r="B27" s="18" t="s">
        <v>81</v>
      </c>
      <c r="C27" s="18"/>
      <c r="D27" s="18"/>
      <c r="E27" s="19">
        <f>SUM(E24:E25)</f>
        <v>180000</v>
      </c>
      <c r="F27" s="301">
        <f t="shared" ref="F27:H27" si="7">SUM(F24:F25)</f>
        <v>1620000</v>
      </c>
      <c r="G27" s="301">
        <f t="shared" si="7"/>
        <v>8100000</v>
      </c>
      <c r="H27" s="301">
        <f t="shared" si="7"/>
        <v>16200000</v>
      </c>
      <c r="I27" s="446"/>
    </row>
    <row r="28" spans="1:9" s="489" customFormat="1" x14ac:dyDescent="0.3">
      <c r="B28" s="490"/>
      <c r="C28" s="490"/>
      <c r="D28" s="490"/>
      <c r="E28" s="446"/>
      <c r="F28" s="446"/>
      <c r="G28" s="446"/>
      <c r="H28" s="446"/>
      <c r="I28" s="446"/>
    </row>
    <row r="29" spans="1:9" s="489" customFormat="1" x14ac:dyDescent="0.3">
      <c r="F29" s="419" t="s">
        <v>260</v>
      </c>
      <c r="G29" s="489" t="s">
        <v>66</v>
      </c>
      <c r="I29" s="446"/>
    </row>
    <row r="30" spans="1:9" s="489" customFormat="1" x14ac:dyDescent="0.3">
      <c r="A30" s="439" t="s">
        <v>456</v>
      </c>
      <c r="E30" s="518">
        <v>1</v>
      </c>
      <c r="F30" s="518">
        <v>10</v>
      </c>
      <c r="G30" s="518">
        <v>50</v>
      </c>
      <c r="H30" s="518">
        <v>100</v>
      </c>
      <c r="I30" s="446"/>
    </row>
    <row r="31" spans="1:9" s="489" customFormat="1" x14ac:dyDescent="0.3">
      <c r="A31" s="439"/>
      <c r="E31" s="82"/>
      <c r="F31" s="95"/>
      <c r="G31" s="419"/>
      <c r="H31" s="419"/>
      <c r="I31" s="446"/>
    </row>
    <row r="32" spans="1:9" s="489" customFormat="1" x14ac:dyDescent="0.3">
      <c r="A32" s="439"/>
      <c r="B32" s="489" t="s">
        <v>276</v>
      </c>
      <c r="E32" s="82">
        <v>60000</v>
      </c>
      <c r="F32" s="95">
        <f>0.9*E32*$F$14</f>
        <v>540000</v>
      </c>
      <c r="G32" s="95">
        <f>F32*5</f>
        <v>2700000</v>
      </c>
      <c r="H32" s="95">
        <f>G32*2</f>
        <v>5400000</v>
      </c>
    </row>
    <row r="33" spans="1:9" s="489" customFormat="1" x14ac:dyDescent="0.3">
      <c r="E33" s="474"/>
      <c r="F33" s="474"/>
      <c r="G33" s="474"/>
      <c r="H33" s="474"/>
      <c r="I33" s="446"/>
    </row>
    <row r="34" spans="1:9" s="489" customFormat="1" x14ac:dyDescent="0.3">
      <c r="B34" s="298" t="s">
        <v>81</v>
      </c>
      <c r="C34" s="298"/>
      <c r="D34" s="298"/>
      <c r="E34" s="301">
        <f>SUM(E31:E32)</f>
        <v>60000</v>
      </c>
      <c r="F34" s="301">
        <f>SUM(F31:F32)</f>
        <v>540000</v>
      </c>
      <c r="G34" s="301">
        <f>SUM(G31:G32)</f>
        <v>2700000</v>
      </c>
      <c r="H34" s="301">
        <f>SUM(H31:H32)</f>
        <v>5400000</v>
      </c>
      <c r="I34" s="446"/>
    </row>
    <row r="35" spans="1:9" s="489" customFormat="1" x14ac:dyDescent="0.3">
      <c r="B35" s="490"/>
      <c r="C35" s="490"/>
      <c r="D35" s="490"/>
      <c r="E35" s="446"/>
      <c r="F35" s="446"/>
      <c r="G35" s="446"/>
      <c r="H35" s="446"/>
      <c r="I35" s="446"/>
    </row>
    <row r="36" spans="1:9" x14ac:dyDescent="0.3">
      <c r="F36" s="419" t="s">
        <v>260</v>
      </c>
      <c r="G36" t="s">
        <v>66</v>
      </c>
    </row>
    <row r="37" spans="1:9" x14ac:dyDescent="0.3">
      <c r="A37" s="59" t="s">
        <v>455</v>
      </c>
      <c r="E37" s="518">
        <v>1</v>
      </c>
      <c r="F37" s="518">
        <v>10</v>
      </c>
      <c r="G37" s="419">
        <v>50</v>
      </c>
      <c r="H37" s="419">
        <v>100</v>
      </c>
    </row>
    <row r="38" spans="1:9" s="489" customFormat="1" x14ac:dyDescent="0.3">
      <c r="A38" s="439"/>
      <c r="E38" s="82"/>
      <c r="F38" s="95"/>
      <c r="G38" s="419"/>
      <c r="H38" s="419"/>
    </row>
    <row r="39" spans="1:9" s="489" customFormat="1" x14ac:dyDescent="0.3">
      <c r="A39" s="439"/>
      <c r="B39" s="489" t="s">
        <v>279</v>
      </c>
      <c r="E39" s="82">
        <v>14100</v>
      </c>
      <c r="F39" s="95">
        <f>0.9*E39*$F$14</f>
        <v>126900</v>
      </c>
      <c r="G39" s="95">
        <f>F39*5</f>
        <v>634500</v>
      </c>
      <c r="H39" s="95">
        <f>G39*2</f>
        <v>1269000</v>
      </c>
    </row>
    <row r="40" spans="1:9" s="489" customFormat="1" x14ac:dyDescent="0.3">
      <c r="A40" s="439"/>
      <c r="B40" s="489" t="s">
        <v>280</v>
      </c>
      <c r="E40" s="82">
        <v>14400</v>
      </c>
      <c r="F40" s="95">
        <f>0.9*E40*$F$14</f>
        <v>129600</v>
      </c>
      <c r="G40" s="95">
        <f>F40*5</f>
        <v>648000</v>
      </c>
      <c r="H40" s="95">
        <f>G40*2</f>
        <v>1296000</v>
      </c>
    </row>
    <row r="41" spans="1:9" s="489" customFormat="1" x14ac:dyDescent="0.3">
      <c r="A41" s="439"/>
      <c r="B41" s="489" t="s">
        <v>281</v>
      </c>
      <c r="E41" s="82">
        <v>27000</v>
      </c>
      <c r="F41" s="95">
        <f>0.9*E41*$F$14</f>
        <v>243000</v>
      </c>
      <c r="G41" s="95">
        <f>F41*5</f>
        <v>1215000</v>
      </c>
      <c r="H41" s="95">
        <f>G41*2</f>
        <v>2430000</v>
      </c>
    </row>
    <row r="42" spans="1:9" s="489" customFormat="1" x14ac:dyDescent="0.3">
      <c r="A42" s="439"/>
      <c r="B42" s="489" t="s">
        <v>282</v>
      </c>
      <c r="E42" s="82">
        <v>46800</v>
      </c>
      <c r="F42" s="95">
        <f>0.9*E42*$F$14</f>
        <v>421200</v>
      </c>
      <c r="G42" s="95">
        <f>F42*5</f>
        <v>2106000</v>
      </c>
      <c r="H42" s="95">
        <f>G42*2</f>
        <v>4212000</v>
      </c>
    </row>
    <row r="44" spans="1:9" x14ac:dyDescent="0.3">
      <c r="B44" s="18" t="s">
        <v>81</v>
      </c>
      <c r="C44" s="18"/>
      <c r="D44" s="18"/>
      <c r="E44" s="19">
        <f>SUM(E39:E42)</f>
        <v>102300</v>
      </c>
      <c r="F44" s="301">
        <f t="shared" ref="F44:H44" si="8">SUM(F39:F42)</f>
        <v>920700</v>
      </c>
      <c r="G44" s="301">
        <f t="shared" si="8"/>
        <v>4603500</v>
      </c>
      <c r="H44" s="301">
        <f t="shared" si="8"/>
        <v>9207000</v>
      </c>
    </row>
    <row r="45" spans="1:9" s="437" customFormat="1" x14ac:dyDescent="0.3">
      <c r="B45" s="438"/>
      <c r="C45" s="438"/>
      <c r="D45" s="438"/>
      <c r="E45" s="446"/>
      <c r="F45" s="446"/>
      <c r="G45" s="446"/>
      <c r="H45" s="446"/>
    </row>
    <row r="47" spans="1:9" s="263" customFormat="1" x14ac:dyDescent="0.3">
      <c r="A47" s="183" t="s">
        <v>149</v>
      </c>
    </row>
    <row r="48" spans="1:9" s="263" customFormat="1" x14ac:dyDescent="0.3">
      <c r="A48" s="263" t="s">
        <v>19</v>
      </c>
      <c r="B48" s="263" t="s">
        <v>284</v>
      </c>
    </row>
    <row r="49" spans="1:12" s="263" customFormat="1" x14ac:dyDescent="0.3">
      <c r="A49" s="263" t="s">
        <v>21</v>
      </c>
      <c r="B49" s="489" t="s">
        <v>284</v>
      </c>
    </row>
    <row r="50" spans="1:12" s="263" customFormat="1" x14ac:dyDescent="0.3">
      <c r="A50" s="263" t="s">
        <v>23</v>
      </c>
      <c r="B50" s="489" t="s">
        <v>284</v>
      </c>
    </row>
    <row r="51" spans="1:12" s="614" customFormat="1" x14ac:dyDescent="0.3">
      <c r="A51" s="614" t="s">
        <v>24</v>
      </c>
      <c r="B51" s="614" t="s">
        <v>284</v>
      </c>
    </row>
    <row r="52" spans="1:12" s="263" customFormat="1" x14ac:dyDescent="0.3"/>
    <row r="53" spans="1:12" s="263" customFormat="1" x14ac:dyDescent="0.3">
      <c r="A53" s="183" t="s">
        <v>213</v>
      </c>
    </row>
    <row r="54" spans="1:12" s="263" customFormat="1" x14ac:dyDescent="0.3">
      <c r="A54" s="489" t="s">
        <v>19</v>
      </c>
      <c r="B54" s="263" t="s">
        <v>285</v>
      </c>
      <c r="L54" s="184"/>
    </row>
    <row r="55" spans="1:12" s="263" customFormat="1" x14ac:dyDescent="0.3">
      <c r="A55" s="489" t="s">
        <v>21</v>
      </c>
      <c r="B55" s="489" t="s">
        <v>285</v>
      </c>
    </row>
    <row r="56" spans="1:12" s="263" customFormat="1" x14ac:dyDescent="0.3">
      <c r="A56" s="489" t="s">
        <v>23</v>
      </c>
      <c r="B56" s="489" t="s">
        <v>285</v>
      </c>
    </row>
    <row r="57" spans="1:12" x14ac:dyDescent="0.3">
      <c r="A57" t="s">
        <v>24</v>
      </c>
      <c r="B57" t="s">
        <v>285</v>
      </c>
    </row>
  </sheetData>
  <pageMargins left="0.7" right="0.7" top="0.75" bottom="0.75" header="0.3" footer="0.3"/>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topLeftCell="A19" zoomScale="90" zoomScaleNormal="90" zoomScalePageLayoutView="125" workbookViewId="0">
      <selection activeCell="D51" sqref="D51"/>
    </sheetView>
  </sheetViews>
  <sheetFormatPr defaultColWidth="8.88671875" defaultRowHeight="14.4" x14ac:dyDescent="0.3"/>
  <cols>
    <col min="1" max="1" width="5.88671875" style="625" customWidth="1"/>
    <col min="2" max="2" width="5.6640625" style="625" customWidth="1"/>
    <col min="3" max="3" width="53.44140625" style="625" customWidth="1"/>
    <col min="4" max="4" width="11.44140625" style="625" customWidth="1"/>
    <col min="5" max="5" width="15" style="625" bestFit="1" customWidth="1"/>
    <col min="6" max="7" width="16.109375" style="625" bestFit="1" customWidth="1"/>
    <col min="8" max="8" width="17.33203125" style="625" bestFit="1" customWidth="1"/>
    <col min="9" max="9" width="8.88671875" style="625"/>
    <col min="10" max="10" width="18.88671875" style="625" bestFit="1" customWidth="1"/>
    <col min="11" max="11" width="15.5546875" style="625" customWidth="1"/>
    <col min="12" max="12" width="18.109375" style="625" customWidth="1"/>
    <col min="13" max="13" width="9.88671875" style="625" bestFit="1" customWidth="1"/>
    <col min="14" max="14" width="11.44140625" style="625" bestFit="1" customWidth="1"/>
    <col min="15" max="15" width="11.33203125" style="625" customWidth="1"/>
    <col min="16" max="16" width="9.109375" style="625" customWidth="1"/>
    <col min="17" max="17" width="10.44140625" style="625" customWidth="1"/>
    <col min="18" max="19" width="11.44140625" style="625" bestFit="1" customWidth="1"/>
    <col min="20" max="16384" width="8.88671875" style="625"/>
  </cols>
  <sheetData>
    <row r="1" spans="1:22" ht="15" x14ac:dyDescent="0.25">
      <c r="A1" s="611" t="s">
        <v>366</v>
      </c>
    </row>
    <row r="3" spans="1:22" ht="15" x14ac:dyDescent="0.25">
      <c r="A3" s="611" t="s">
        <v>110</v>
      </c>
      <c r="D3" s="625" t="s">
        <v>66</v>
      </c>
      <c r="E3" s="625">
        <v>1</v>
      </c>
      <c r="F3" s="625">
        <v>10</v>
      </c>
      <c r="G3" s="625">
        <v>50</v>
      </c>
      <c r="H3" s="625">
        <v>100</v>
      </c>
    </row>
    <row r="4" spans="1:22" ht="15" x14ac:dyDescent="0.25">
      <c r="A4" s="611"/>
      <c r="B4" s="625" t="s">
        <v>19</v>
      </c>
      <c r="C4" s="625" t="s">
        <v>20</v>
      </c>
      <c r="E4" s="474">
        <f>E22</f>
        <v>548686.27415730339</v>
      </c>
      <c r="F4" s="474">
        <f>F22</f>
        <v>4938176.4674157295</v>
      </c>
      <c r="G4" s="474">
        <f>G22</f>
        <v>24690882.337078653</v>
      </c>
      <c r="H4" s="474">
        <f>H22</f>
        <v>49381764.674157307</v>
      </c>
    </row>
    <row r="5" spans="1:22" ht="15" x14ac:dyDescent="0.25">
      <c r="A5" s="611"/>
      <c r="B5" s="625" t="s">
        <v>21</v>
      </c>
      <c r="C5" s="625" t="s">
        <v>22</v>
      </c>
      <c r="E5" s="474">
        <f>E30</f>
        <v>124166.00000000001</v>
      </c>
      <c r="F5" s="474">
        <f>F30</f>
        <v>1042720.0000000001</v>
      </c>
      <c r="G5" s="474">
        <f>G30</f>
        <v>4184600.0000000005</v>
      </c>
      <c r="H5" s="474">
        <f>H30</f>
        <v>6311200</v>
      </c>
    </row>
    <row r="6" spans="1:22" ht="15" x14ac:dyDescent="0.25">
      <c r="A6" s="611"/>
      <c r="B6" s="625" t="s">
        <v>23</v>
      </c>
      <c r="C6" s="625" t="s">
        <v>363</v>
      </c>
      <c r="E6" s="474">
        <f>E35</f>
        <v>60000</v>
      </c>
      <c r="F6" s="474">
        <f>F35</f>
        <v>540000</v>
      </c>
      <c r="G6" s="474">
        <f>G35</f>
        <v>2700000</v>
      </c>
      <c r="H6" s="474">
        <f>H35</f>
        <v>5400000</v>
      </c>
    </row>
    <row r="7" spans="1:22" ht="15" x14ac:dyDescent="0.25">
      <c r="A7" s="611"/>
      <c r="B7" s="625" t="s">
        <v>23</v>
      </c>
      <c r="C7" s="625" t="s">
        <v>25</v>
      </c>
      <c r="E7" s="474">
        <f>E47</f>
        <v>102300</v>
      </c>
      <c r="F7" s="474">
        <f>F47</f>
        <v>920700</v>
      </c>
      <c r="G7" s="474">
        <f>G47</f>
        <v>4603500</v>
      </c>
      <c r="H7" s="474">
        <f>H47</f>
        <v>9207000</v>
      </c>
    </row>
    <row r="8" spans="1:22" ht="15" x14ac:dyDescent="0.25">
      <c r="A8" s="611"/>
      <c r="B8" s="625" t="s">
        <v>24</v>
      </c>
      <c r="C8" s="625" t="s">
        <v>17</v>
      </c>
      <c r="E8" s="474"/>
      <c r="F8" s="474"/>
      <c r="G8" s="474"/>
      <c r="H8" s="474"/>
    </row>
    <row r="9" spans="1:22" ht="15" x14ac:dyDescent="0.25">
      <c r="A9" s="611"/>
      <c r="D9" s="474"/>
      <c r="E9" s="474"/>
      <c r="F9" s="474"/>
      <c r="G9" s="474"/>
    </row>
    <row r="10" spans="1:22" ht="15" x14ac:dyDescent="0.25">
      <c r="A10" s="611"/>
      <c r="B10" s="298" t="s">
        <v>81</v>
      </c>
      <c r="C10" s="298"/>
      <c r="D10" s="301"/>
      <c r="E10" s="301">
        <f>SUM(E4:E7)</f>
        <v>835152.27415730339</v>
      </c>
      <c r="F10" s="301">
        <f>SUM(F4:F7)</f>
        <v>7441596.4674157295</v>
      </c>
      <c r="G10" s="301">
        <f>SUM(G4:G7)</f>
        <v>36178982.337078653</v>
      </c>
      <c r="H10" s="301">
        <f>SUM(H4:H7)</f>
        <v>70299964.674157307</v>
      </c>
      <c r="J10" s="400">
        <f>F10/F3</f>
        <v>744159.646741573</v>
      </c>
      <c r="K10" s="400">
        <f t="shared" ref="K10:L10" si="0">G10/G3</f>
        <v>723579.64674157312</v>
      </c>
      <c r="L10" s="400">
        <f t="shared" si="0"/>
        <v>702999.64674157312</v>
      </c>
    </row>
    <row r="11" spans="1:22" ht="15" x14ac:dyDescent="0.25">
      <c r="A11" s="611"/>
      <c r="D11" s="474"/>
      <c r="E11" s="474"/>
      <c r="F11" s="474"/>
      <c r="G11" s="474"/>
    </row>
    <row r="12" spans="1:22" ht="15" x14ac:dyDescent="0.25">
      <c r="A12" s="611"/>
      <c r="D12" s="474"/>
      <c r="E12" s="474"/>
      <c r="F12" s="474"/>
      <c r="G12" s="474"/>
    </row>
    <row r="13" spans="1:22" ht="15" x14ac:dyDescent="0.25">
      <c r="A13" s="611"/>
      <c r="D13" s="474"/>
      <c r="E13" s="474"/>
      <c r="F13" s="82" t="s">
        <v>260</v>
      </c>
      <c r="G13" s="474" t="s">
        <v>66</v>
      </c>
    </row>
    <row r="14" spans="1:22" x14ac:dyDescent="0.3">
      <c r="A14" s="611" t="s">
        <v>136</v>
      </c>
      <c r="E14" s="518">
        <v>1</v>
      </c>
      <c r="F14" s="518">
        <v>10</v>
      </c>
      <c r="G14" s="518">
        <v>50</v>
      </c>
      <c r="H14" s="518">
        <v>100</v>
      </c>
      <c r="J14" s="692"/>
      <c r="K14" s="692" t="s">
        <v>497</v>
      </c>
      <c r="L14" s="692" t="s">
        <v>498</v>
      </c>
      <c r="M14" s="692" t="s">
        <v>499</v>
      </c>
      <c r="N14" s="692" t="s">
        <v>500</v>
      </c>
      <c r="O14" s="692" t="s">
        <v>501</v>
      </c>
      <c r="Q14" s="999" t="s">
        <v>505</v>
      </c>
      <c r="R14" s="999"/>
      <c r="S14" s="999"/>
      <c r="T14" s="999"/>
      <c r="U14" s="999"/>
      <c r="V14" s="999"/>
    </row>
    <row r="15" spans="1:22" x14ac:dyDescent="0.3">
      <c r="A15" s="611"/>
      <c r="D15" s="625" t="s">
        <v>564</v>
      </c>
      <c r="E15" s="518"/>
      <c r="F15" s="518"/>
      <c r="G15" s="518"/>
      <c r="H15" s="518"/>
      <c r="J15" s="692"/>
      <c r="K15" s="692"/>
      <c r="L15" s="692"/>
      <c r="M15" s="692"/>
      <c r="N15" s="692"/>
      <c r="O15" s="692"/>
      <c r="Q15" s="999"/>
      <c r="R15" s="999"/>
      <c r="S15" s="999"/>
      <c r="T15" s="999"/>
      <c r="U15" s="999"/>
      <c r="V15" s="999"/>
    </row>
    <row r="16" spans="1:22" ht="15" customHeight="1" x14ac:dyDescent="0.3">
      <c r="A16" s="611"/>
      <c r="B16" s="491" t="s">
        <v>508</v>
      </c>
      <c r="C16" s="491"/>
      <c r="D16" s="491">
        <v>135</v>
      </c>
      <c r="E16" s="948">
        <f>($D$16*L17)*E14</f>
        <v>11535.674157303371</v>
      </c>
      <c r="F16" s="948">
        <f t="shared" ref="F16:G16" si="1">($D$16*M17)*F14</f>
        <v>103821.06741573034</v>
      </c>
      <c r="G16" s="948">
        <f t="shared" si="1"/>
        <v>519105.3370786517</v>
      </c>
      <c r="H16" s="948">
        <f>($D$16*O17)*H14</f>
        <v>1038210.6741573034</v>
      </c>
      <c r="J16" s="692" t="s">
        <v>502</v>
      </c>
      <c r="K16" s="692">
        <f>267*3</f>
        <v>801</v>
      </c>
      <c r="L16" s="694">
        <f>(E19/$K$16)/E14</f>
        <v>54.775280898876403</v>
      </c>
      <c r="M16" s="694">
        <f>(F19/$K$16)/F14</f>
        <v>49.297752808988761</v>
      </c>
      <c r="N16" s="694">
        <f>(G19/$K$16)/G14</f>
        <v>49.297752808988761</v>
      </c>
      <c r="O16" s="694">
        <f>(H19/$K$16)/H14</f>
        <v>49.297752808988761</v>
      </c>
      <c r="Q16" s="999"/>
      <c r="R16" s="999"/>
      <c r="S16" s="999"/>
      <c r="T16" s="999"/>
      <c r="U16" s="999"/>
      <c r="V16" s="999"/>
    </row>
    <row r="17" spans="1:21" ht="15" x14ac:dyDescent="0.25">
      <c r="A17" s="611"/>
      <c r="B17" s="491" t="s">
        <v>511</v>
      </c>
      <c r="C17" s="491"/>
      <c r="D17" s="491">
        <v>1685</v>
      </c>
      <c r="E17" s="948">
        <f>($D$17*L19)*E14</f>
        <v>510150.6</v>
      </c>
      <c r="F17" s="948">
        <f t="shared" ref="F17:G17" si="2">($D$17*M19)*F14</f>
        <v>4591355.3999999994</v>
      </c>
      <c r="G17" s="948">
        <f t="shared" si="2"/>
        <v>22956777</v>
      </c>
      <c r="H17" s="948">
        <f>($D$17*O19)*H14</f>
        <v>45913554</v>
      </c>
      <c r="J17" s="692" t="s">
        <v>506</v>
      </c>
      <c r="K17" s="692" t="s">
        <v>507</v>
      </c>
      <c r="L17" s="693">
        <f>L16*1.56</f>
        <v>85.449438202247194</v>
      </c>
      <c r="M17" s="693">
        <f t="shared" ref="M17:O17" si="3">M16*1.56</f>
        <v>76.904494382022477</v>
      </c>
      <c r="N17" s="693">
        <f t="shared" si="3"/>
        <v>76.904494382022477</v>
      </c>
      <c r="O17" s="693">
        <f t="shared" si="3"/>
        <v>76.904494382022477</v>
      </c>
    </row>
    <row r="18" spans="1:21" ht="15" x14ac:dyDescent="0.25">
      <c r="B18" s="491" t="s">
        <v>275</v>
      </c>
      <c r="C18" s="491"/>
      <c r="D18" s="491"/>
      <c r="E18" s="948">
        <v>27000</v>
      </c>
      <c r="F18" s="949">
        <f>0.9*E18*$F$14</f>
        <v>243000</v>
      </c>
      <c r="G18" s="949">
        <f>F18*5</f>
        <v>1215000</v>
      </c>
      <c r="H18" s="949">
        <f>G18*2</f>
        <v>2430000</v>
      </c>
      <c r="J18" s="692" t="s">
        <v>503</v>
      </c>
      <c r="K18" s="692">
        <v>82.3</v>
      </c>
      <c r="L18" s="694">
        <f>(E20/$K$18)/E14</f>
        <v>1356.0145808019442</v>
      </c>
      <c r="M18" s="694">
        <f>(F20/$K$18)/F14</f>
        <v>1220.4131227217499</v>
      </c>
      <c r="N18" s="694">
        <f>(G20/$K$18)/G14</f>
        <v>1220.4131227217497</v>
      </c>
      <c r="O18" s="694">
        <f>(H20/$K$18)/H14</f>
        <v>1220.4131227217497</v>
      </c>
      <c r="P18" s="625" t="s">
        <v>509</v>
      </c>
    </row>
    <row r="19" spans="1:21" ht="15" x14ac:dyDescent="0.25">
      <c r="A19" s="611"/>
      <c r="B19" s="691" t="s">
        <v>277</v>
      </c>
      <c r="C19" s="691"/>
      <c r="D19" s="691"/>
      <c r="E19" s="698">
        <v>43875</v>
      </c>
      <c r="F19" s="699">
        <f t="shared" ref="F19:F20" si="4">0.9*E19*$F$14</f>
        <v>394875</v>
      </c>
      <c r="G19" s="699">
        <f t="shared" ref="G19:G20" si="5">F19*5</f>
        <v>1974375</v>
      </c>
      <c r="H19" s="699">
        <f t="shared" ref="H19:H20" si="6">G19*2</f>
        <v>3948750</v>
      </c>
      <c r="J19" s="692" t="s">
        <v>515</v>
      </c>
      <c r="K19" s="692" t="s">
        <v>507</v>
      </c>
      <c r="L19" s="692">
        <f>4.5*$L$21</f>
        <v>302.76</v>
      </c>
      <c r="M19" s="692">
        <f>4.05*$L$21</f>
        <v>272.48399999999998</v>
      </c>
      <c r="N19" s="692">
        <f t="shared" ref="N19:O19" si="7">4.05*$L$21</f>
        <v>272.48399999999998</v>
      </c>
      <c r="O19" s="692">
        <f t="shared" si="7"/>
        <v>272.48399999999998</v>
      </c>
      <c r="P19" s="625" t="s">
        <v>510</v>
      </c>
    </row>
    <row r="20" spans="1:21" ht="15" x14ac:dyDescent="0.25">
      <c r="A20" s="611"/>
      <c r="B20" s="691" t="s">
        <v>278</v>
      </c>
      <c r="C20" s="691"/>
      <c r="D20" s="691"/>
      <c r="E20" s="698">
        <v>111600</v>
      </c>
      <c r="F20" s="699">
        <f t="shared" si="4"/>
        <v>1004400</v>
      </c>
      <c r="G20" s="699">
        <f t="shared" si="5"/>
        <v>5022000</v>
      </c>
      <c r="H20" s="699">
        <f t="shared" si="6"/>
        <v>10044000</v>
      </c>
      <c r="Q20" s="700"/>
      <c r="R20" s="700"/>
      <c r="S20" s="700"/>
      <c r="T20" s="700"/>
      <c r="U20" s="700"/>
    </row>
    <row r="21" spans="1:21" ht="15" x14ac:dyDescent="0.25">
      <c r="A21" s="611"/>
      <c r="K21" s="625" t="s">
        <v>513</v>
      </c>
      <c r="L21" s="625">
        <f>(58^2)*0.02</f>
        <v>67.28</v>
      </c>
      <c r="M21" s="625" t="s">
        <v>512</v>
      </c>
      <c r="Q21" s="700"/>
      <c r="R21" s="700"/>
      <c r="S21" s="700"/>
      <c r="T21" s="700"/>
      <c r="U21" s="700"/>
    </row>
    <row r="22" spans="1:21" ht="15" x14ac:dyDescent="0.25">
      <c r="A22" s="611"/>
      <c r="B22" s="298" t="s">
        <v>81</v>
      </c>
      <c r="C22" s="298"/>
      <c r="D22" s="298"/>
      <c r="E22" s="301">
        <f>SUM(E16:E18)</f>
        <v>548686.27415730339</v>
      </c>
      <c r="F22" s="301">
        <f t="shared" ref="F22:H22" si="8">SUM(F16:F18)</f>
        <v>4938176.4674157295</v>
      </c>
      <c r="G22" s="301">
        <f t="shared" si="8"/>
        <v>24690882.337078653</v>
      </c>
      <c r="H22" s="301">
        <f t="shared" si="8"/>
        <v>49381764.674157307</v>
      </c>
      <c r="K22" s="491" t="s">
        <v>514</v>
      </c>
      <c r="L22" s="625">
        <f>765*2+155</f>
        <v>1685</v>
      </c>
      <c r="M22" s="625" t="s">
        <v>133</v>
      </c>
    </row>
    <row r="23" spans="1:21" ht="15" x14ac:dyDescent="0.25">
      <c r="A23" s="611"/>
      <c r="B23" s="490"/>
      <c r="C23" s="490"/>
      <c r="D23" s="490"/>
      <c r="E23" s="446"/>
      <c r="F23" s="446"/>
      <c r="G23" s="446"/>
      <c r="H23" s="446"/>
    </row>
    <row r="24" spans="1:21" ht="15" x14ac:dyDescent="0.25">
      <c r="F24" s="419" t="s">
        <v>260</v>
      </c>
      <c r="G24" s="625" t="s">
        <v>66</v>
      </c>
    </row>
    <row r="25" spans="1:21" ht="15" x14ac:dyDescent="0.25">
      <c r="E25" s="518">
        <v>1</v>
      </c>
      <c r="F25" s="518">
        <v>10</v>
      </c>
      <c r="G25" s="518">
        <v>50</v>
      </c>
      <c r="H25" s="518">
        <v>100</v>
      </c>
    </row>
    <row r="26" spans="1:21" x14ac:dyDescent="0.3">
      <c r="A26" s="611" t="s">
        <v>137</v>
      </c>
      <c r="D26" s="625" t="s">
        <v>565</v>
      </c>
      <c r="E26" s="518"/>
      <c r="F26" s="518"/>
      <c r="G26" s="518"/>
      <c r="H26" s="518"/>
      <c r="K26" s="689" t="s">
        <v>570</v>
      </c>
      <c r="L26" s="689"/>
      <c r="M26" s="689"/>
      <c r="N26" s="689"/>
      <c r="O26" s="689"/>
    </row>
    <row r="27" spans="1:21" ht="15" x14ac:dyDescent="0.25">
      <c r="B27" s="491" t="s">
        <v>504</v>
      </c>
      <c r="C27" s="491"/>
      <c r="D27" s="491">
        <v>1</v>
      </c>
      <c r="E27" s="948">
        <f>L29</f>
        <v>8918</v>
      </c>
      <c r="F27" s="948">
        <f>M29</f>
        <v>82320</v>
      </c>
      <c r="G27" s="948">
        <f>N29</f>
        <v>343000</v>
      </c>
      <c r="H27" s="948">
        <f>O29</f>
        <v>548800</v>
      </c>
      <c r="J27" s="491"/>
      <c r="K27" s="689"/>
      <c r="L27" s="689">
        <v>1</v>
      </c>
      <c r="M27" s="689">
        <v>10</v>
      </c>
      <c r="N27" s="689">
        <v>50</v>
      </c>
      <c r="O27" s="689">
        <v>100</v>
      </c>
    </row>
    <row r="28" spans="1:21" ht="15" x14ac:dyDescent="0.25">
      <c r="B28" s="491" t="s">
        <v>764</v>
      </c>
      <c r="C28" s="491"/>
      <c r="D28" s="491">
        <v>14</v>
      </c>
      <c r="E28" s="948">
        <f>L34</f>
        <v>115248.00000000001</v>
      </c>
      <c r="F28" s="948">
        <f>M34</f>
        <v>960400.00000000012</v>
      </c>
      <c r="G28" s="948">
        <f>N34</f>
        <v>3841600.0000000005</v>
      </c>
      <c r="H28" s="948">
        <f>O34</f>
        <v>5762400</v>
      </c>
      <c r="J28" s="107"/>
      <c r="K28" s="689" t="s">
        <v>571</v>
      </c>
      <c r="L28" s="728">
        <v>6500</v>
      </c>
      <c r="M28" s="728">
        <v>60000</v>
      </c>
      <c r="N28" s="728">
        <v>250000</v>
      </c>
      <c r="O28" s="728">
        <v>400000</v>
      </c>
    </row>
    <row r="29" spans="1:21" ht="15" x14ac:dyDescent="0.25">
      <c r="A29" s="611"/>
      <c r="B29" s="695"/>
      <c r="C29" s="695"/>
      <c r="D29" s="695"/>
      <c r="E29" s="696"/>
      <c r="F29" s="697"/>
      <c r="G29" s="697"/>
      <c r="H29" s="697"/>
      <c r="J29" s="402"/>
      <c r="K29" s="729" t="s">
        <v>572</v>
      </c>
      <c r="L29" s="730">
        <f>L28*1.372</f>
        <v>8918</v>
      </c>
      <c r="M29" s="730">
        <f t="shared" ref="M29:O29" si="9">M28*1.372</f>
        <v>82320</v>
      </c>
      <c r="N29" s="730">
        <f t="shared" si="9"/>
        <v>343000</v>
      </c>
      <c r="O29" s="730">
        <f t="shared" si="9"/>
        <v>548800</v>
      </c>
    </row>
    <row r="30" spans="1:21" ht="15" x14ac:dyDescent="0.25">
      <c r="A30" s="611"/>
      <c r="B30" s="298" t="s">
        <v>81</v>
      </c>
      <c r="C30" s="298"/>
      <c r="D30" s="298"/>
      <c r="E30" s="301">
        <f>SUM(E27:E28)</f>
        <v>124166.00000000001</v>
      </c>
      <c r="F30" s="301">
        <f>SUM(F27:F28)</f>
        <v>1042720.0000000001</v>
      </c>
      <c r="G30" s="301">
        <f>SUM(G27:G28)</f>
        <v>4184600.0000000005</v>
      </c>
      <c r="H30" s="301">
        <f>SUM(H27:H28)</f>
        <v>6311200</v>
      </c>
      <c r="J30" s="491"/>
      <c r="K30" s="689" t="s">
        <v>573</v>
      </c>
      <c r="L30" s="728">
        <v>60000</v>
      </c>
      <c r="M30" s="728">
        <v>500000</v>
      </c>
      <c r="N30" s="728">
        <v>2000000</v>
      </c>
      <c r="O30" s="728">
        <v>3000000</v>
      </c>
    </row>
    <row r="31" spans="1:21" ht="15" x14ac:dyDescent="0.25">
      <c r="A31" s="611"/>
      <c r="B31" s="490"/>
      <c r="C31" s="490"/>
      <c r="D31" s="490"/>
      <c r="E31" s="446"/>
      <c r="F31" s="446"/>
      <c r="G31" s="446"/>
      <c r="H31" s="446"/>
      <c r="K31" s="729" t="s">
        <v>572</v>
      </c>
      <c r="L31" s="730">
        <f>L30*1.372</f>
        <v>82320</v>
      </c>
      <c r="M31" s="730">
        <f t="shared" ref="M31" si="10">M30*1.372</f>
        <v>686000</v>
      </c>
      <c r="N31" s="730">
        <f t="shared" ref="N31" si="11">N30*1.372</f>
        <v>2744000</v>
      </c>
      <c r="O31" s="730">
        <f t="shared" ref="O31" si="12">O30*1.372</f>
        <v>4116000.0000000005</v>
      </c>
    </row>
    <row r="32" spans="1:21" ht="15" x14ac:dyDescent="0.25">
      <c r="A32" s="611"/>
      <c r="F32" s="419" t="s">
        <v>260</v>
      </c>
      <c r="G32" s="625" t="s">
        <v>66</v>
      </c>
      <c r="K32" s="689"/>
      <c r="L32" s="689"/>
      <c r="M32" s="689"/>
      <c r="N32" s="689"/>
      <c r="O32" s="689"/>
    </row>
    <row r="33" spans="1:16" ht="15" x14ac:dyDescent="0.25">
      <c r="A33" s="611"/>
      <c r="E33" s="518">
        <v>1</v>
      </c>
      <c r="F33" s="518">
        <v>10</v>
      </c>
      <c r="G33" s="518">
        <v>50</v>
      </c>
      <c r="H33" s="518">
        <v>100</v>
      </c>
      <c r="I33" s="446"/>
      <c r="J33" s="446"/>
      <c r="K33" s="690" t="s">
        <v>765</v>
      </c>
      <c r="L33" s="780">
        <f>L30*(7/5)</f>
        <v>84000</v>
      </c>
      <c r="M33" s="780">
        <f t="shared" ref="M33:O33" si="13">M30*(7/5)</f>
        <v>700000</v>
      </c>
      <c r="N33" s="780">
        <f t="shared" si="13"/>
        <v>2800000</v>
      </c>
      <c r="O33" s="780">
        <f t="shared" si="13"/>
        <v>4200000</v>
      </c>
      <c r="P33" s="625" t="s">
        <v>766</v>
      </c>
    </row>
    <row r="34" spans="1:16" ht="15" x14ac:dyDescent="0.25">
      <c r="E34" s="82"/>
      <c r="F34" s="95"/>
      <c r="G34" s="419"/>
      <c r="H34" s="419"/>
      <c r="I34" s="446"/>
      <c r="J34" s="446"/>
      <c r="K34" s="690"/>
      <c r="L34" s="779">
        <f>L33*1.372</f>
        <v>115248.00000000001</v>
      </c>
      <c r="M34" s="779">
        <f t="shared" ref="M34:O34" si="14">M33*1.372</f>
        <v>960400.00000000012</v>
      </c>
      <c r="N34" s="779">
        <f t="shared" si="14"/>
        <v>3841600.0000000005</v>
      </c>
      <c r="O34" s="779">
        <f t="shared" si="14"/>
        <v>5762400</v>
      </c>
    </row>
    <row r="35" spans="1:16" ht="15" x14ac:dyDescent="0.25">
      <c r="A35" s="611" t="s">
        <v>456</v>
      </c>
      <c r="B35" s="625" t="s">
        <v>276</v>
      </c>
      <c r="E35" s="82">
        <v>60000</v>
      </c>
      <c r="F35" s="95">
        <f>0.9*E35*$F$14</f>
        <v>540000</v>
      </c>
      <c r="G35" s="95">
        <f>F35*5</f>
        <v>2700000</v>
      </c>
      <c r="H35" s="95">
        <f>G35*2</f>
        <v>5400000</v>
      </c>
      <c r="I35" s="446"/>
      <c r="J35" s="446"/>
    </row>
    <row r="36" spans="1:16" ht="15" x14ac:dyDescent="0.25">
      <c r="E36" s="474"/>
      <c r="F36" s="474"/>
      <c r="G36" s="474"/>
      <c r="H36" s="474"/>
      <c r="I36" s="446"/>
      <c r="J36" s="446"/>
    </row>
    <row r="37" spans="1:16" ht="15" x14ac:dyDescent="0.25">
      <c r="B37" s="298" t="s">
        <v>81</v>
      </c>
      <c r="C37" s="298"/>
      <c r="D37" s="298"/>
      <c r="E37" s="301">
        <f>SUM(E34:E35)</f>
        <v>60000</v>
      </c>
      <c r="F37" s="301">
        <f>SUM(F34:F35)</f>
        <v>540000</v>
      </c>
      <c r="G37" s="301">
        <f>SUM(G34:G35)</f>
        <v>2700000</v>
      </c>
      <c r="H37" s="301">
        <f>SUM(H34:H35)</f>
        <v>5400000</v>
      </c>
      <c r="I37" s="446"/>
      <c r="J37" s="446"/>
    </row>
    <row r="38" spans="1:16" ht="15" x14ac:dyDescent="0.25">
      <c r="A38" s="611"/>
      <c r="B38" s="490"/>
      <c r="C38" s="490"/>
      <c r="D38" s="490"/>
      <c r="E38" s="446"/>
      <c r="F38" s="446"/>
      <c r="G38" s="446"/>
      <c r="H38" s="446"/>
    </row>
    <row r="39" spans="1:16" ht="15" x14ac:dyDescent="0.25">
      <c r="A39" s="611"/>
      <c r="F39" s="419" t="s">
        <v>260</v>
      </c>
      <c r="G39" s="625" t="s">
        <v>66</v>
      </c>
      <c r="I39" s="446"/>
      <c r="J39" s="446"/>
    </row>
    <row r="40" spans="1:16" ht="15" x14ac:dyDescent="0.25">
      <c r="E40" s="518">
        <v>1</v>
      </c>
      <c r="F40" s="518">
        <v>10</v>
      </c>
      <c r="G40" s="419">
        <v>50</v>
      </c>
      <c r="H40" s="419">
        <v>100</v>
      </c>
      <c r="I40" s="446"/>
      <c r="J40" s="446"/>
    </row>
    <row r="41" spans="1:16" ht="15" x14ac:dyDescent="0.25">
      <c r="E41" s="82"/>
      <c r="F41" s="95"/>
      <c r="G41" s="419"/>
      <c r="H41" s="419"/>
      <c r="I41" s="446"/>
      <c r="J41" s="446"/>
    </row>
    <row r="42" spans="1:16" ht="15" x14ac:dyDescent="0.25">
      <c r="A42" s="611" t="s">
        <v>455</v>
      </c>
      <c r="B42" s="625" t="s">
        <v>279</v>
      </c>
      <c r="E42" s="82">
        <v>14100</v>
      </c>
      <c r="F42" s="95">
        <f>0.9*E42*$F$14</f>
        <v>126900</v>
      </c>
      <c r="G42" s="95">
        <f>F42*5</f>
        <v>634500</v>
      </c>
      <c r="H42" s="95">
        <f>G42*2</f>
        <v>1269000</v>
      </c>
    </row>
    <row r="43" spans="1:16" ht="15" x14ac:dyDescent="0.25">
      <c r="B43" s="625" t="s">
        <v>280</v>
      </c>
      <c r="E43" s="82">
        <v>14400</v>
      </c>
      <c r="F43" s="95">
        <f>0.9*E43*$F$14</f>
        <v>129600</v>
      </c>
      <c r="G43" s="95">
        <f>F43*5</f>
        <v>648000</v>
      </c>
      <c r="H43" s="95">
        <f>G43*2</f>
        <v>1296000</v>
      </c>
    </row>
    <row r="44" spans="1:16" x14ac:dyDescent="0.3">
      <c r="B44" s="625" t="s">
        <v>281</v>
      </c>
      <c r="E44" s="82">
        <v>27000</v>
      </c>
      <c r="F44" s="95">
        <f>0.9*E44*$F$14</f>
        <v>243000</v>
      </c>
      <c r="G44" s="95">
        <f>F44*5</f>
        <v>1215000</v>
      </c>
      <c r="H44" s="95">
        <f>G44*2</f>
        <v>2430000</v>
      </c>
    </row>
    <row r="45" spans="1:16" x14ac:dyDescent="0.3">
      <c r="A45" s="611"/>
      <c r="B45" s="625" t="s">
        <v>282</v>
      </c>
      <c r="E45" s="82">
        <v>46800</v>
      </c>
      <c r="F45" s="95">
        <f>0.9*E45*$F$14</f>
        <v>421200</v>
      </c>
      <c r="G45" s="95">
        <f>F45*5</f>
        <v>2106000</v>
      </c>
      <c r="H45" s="95">
        <f>G45*2</f>
        <v>4212000</v>
      </c>
    </row>
    <row r="46" spans="1:16" x14ac:dyDescent="0.3">
      <c r="A46" s="611"/>
    </row>
    <row r="47" spans="1:16" x14ac:dyDescent="0.3">
      <c r="A47" s="611"/>
      <c r="B47" s="298" t="s">
        <v>81</v>
      </c>
      <c r="C47" s="298"/>
      <c r="D47" s="298"/>
      <c r="E47" s="301">
        <f>SUM(E42:E45)</f>
        <v>102300</v>
      </c>
      <c r="F47" s="301">
        <f t="shared" ref="F47:H47" si="15">SUM(F42:F45)</f>
        <v>920700</v>
      </c>
      <c r="G47" s="301">
        <f t="shared" si="15"/>
        <v>4603500</v>
      </c>
      <c r="H47" s="301">
        <f t="shared" si="15"/>
        <v>9207000</v>
      </c>
    </row>
    <row r="48" spans="1:16" x14ac:dyDescent="0.3">
      <c r="A48" s="611"/>
      <c r="B48" s="490"/>
      <c r="C48" s="490"/>
      <c r="D48" s="490"/>
      <c r="E48" s="446"/>
      <c r="F48" s="446"/>
      <c r="G48" s="446"/>
      <c r="H48" s="446"/>
    </row>
    <row r="49" spans="1:13" x14ac:dyDescent="0.3">
      <c r="A49" s="611"/>
    </row>
    <row r="51" spans="1:13" x14ac:dyDescent="0.3">
      <c r="A51" s="611" t="s">
        <v>149</v>
      </c>
    </row>
    <row r="52" spans="1:13" x14ac:dyDescent="0.3">
      <c r="A52" s="625" t="s">
        <v>19</v>
      </c>
      <c r="B52" s="625" t="s">
        <v>284</v>
      </c>
    </row>
    <row r="53" spans="1:13" x14ac:dyDescent="0.3">
      <c r="A53" s="625" t="s">
        <v>21</v>
      </c>
      <c r="B53" s="625" t="s">
        <v>284</v>
      </c>
    </row>
    <row r="55" spans="1:13" x14ac:dyDescent="0.3">
      <c r="A55" s="611" t="s">
        <v>213</v>
      </c>
    </row>
    <row r="56" spans="1:13" x14ac:dyDescent="0.3">
      <c r="A56" s="491" t="s">
        <v>566</v>
      </c>
      <c r="B56" s="491" t="s">
        <v>567</v>
      </c>
    </row>
    <row r="57" spans="1:13" x14ac:dyDescent="0.3">
      <c r="A57" s="491" t="s">
        <v>568</v>
      </c>
      <c r="B57" s="491" t="s">
        <v>569</v>
      </c>
    </row>
    <row r="58" spans="1:13" x14ac:dyDescent="0.3">
      <c r="A58" s="491" t="s">
        <v>817</v>
      </c>
      <c r="B58" s="491" t="s">
        <v>818</v>
      </c>
      <c r="M58" s="383"/>
    </row>
    <row r="59" spans="1:13" x14ac:dyDescent="0.3">
      <c r="A59" s="491" t="s">
        <v>21</v>
      </c>
      <c r="B59" s="491" t="s">
        <v>767</v>
      </c>
    </row>
    <row r="60" spans="1:13" x14ac:dyDescent="0.3">
      <c r="A60" s="625" t="s">
        <v>23</v>
      </c>
      <c r="B60" s="625" t="s">
        <v>285</v>
      </c>
    </row>
    <row r="61" spans="1:13" x14ac:dyDescent="0.3">
      <c r="A61" s="625" t="s">
        <v>24</v>
      </c>
      <c r="B61" s="625" t="s">
        <v>285</v>
      </c>
    </row>
  </sheetData>
  <mergeCells count="1">
    <mergeCell ref="Q14:V16"/>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V82"/>
  <sheetViews>
    <sheetView zoomScale="90" zoomScaleNormal="90" zoomScalePageLayoutView="125" workbookViewId="0">
      <selection activeCell="X33" sqref="X33"/>
    </sheetView>
  </sheetViews>
  <sheetFormatPr defaultColWidth="8.88671875" defaultRowHeight="14.4" x14ac:dyDescent="0.3"/>
  <cols>
    <col min="1" max="1" width="7.109375" style="10" customWidth="1"/>
    <col min="2" max="2" width="3.44140625" style="10" customWidth="1"/>
    <col min="3" max="3" width="7.109375" style="10" customWidth="1"/>
    <col min="4" max="4" width="40.6640625" style="10" bestFit="1" customWidth="1"/>
    <col min="5" max="5" width="15.109375" style="10" bestFit="1" customWidth="1"/>
    <col min="6" max="6" width="17.88671875" style="10" customWidth="1"/>
    <col min="7" max="7" width="18.44140625" style="10" customWidth="1"/>
    <col min="8" max="8" width="16.33203125" style="10" bestFit="1" customWidth="1"/>
    <col min="9" max="9" width="17.109375" style="10" bestFit="1" customWidth="1"/>
    <col min="10" max="10" width="12" style="10" customWidth="1"/>
    <col min="11" max="11" width="11.88671875" style="10" customWidth="1"/>
    <col min="12" max="12" width="12.88671875" style="10" customWidth="1"/>
    <col min="13" max="13" width="12.44140625" style="10" customWidth="1"/>
    <col min="14" max="14" width="8" style="10" customWidth="1"/>
    <col min="15" max="15" width="8.88671875" style="10" customWidth="1"/>
    <col min="16" max="16" width="9" customWidth="1"/>
    <col min="18" max="16384" width="8.88671875" style="10"/>
  </cols>
  <sheetData>
    <row r="1" spans="1:22" ht="15" x14ac:dyDescent="0.25">
      <c r="A1" s="439" t="s">
        <v>367</v>
      </c>
      <c r="P1" s="10"/>
      <c r="Q1" s="10"/>
    </row>
    <row r="2" spans="1:22" ht="15" x14ac:dyDescent="0.25">
      <c r="A2" s="13"/>
      <c r="K2" s="395"/>
      <c r="L2" s="395"/>
      <c r="M2" s="395"/>
      <c r="N2" s="395"/>
      <c r="O2" s="395"/>
      <c r="P2" s="395"/>
      <c r="Q2" s="10"/>
    </row>
    <row r="3" spans="1:22" ht="15" x14ac:dyDescent="0.25">
      <c r="A3" s="11" t="s">
        <v>110</v>
      </c>
      <c r="E3" s="10">
        <v>1</v>
      </c>
      <c r="F3" s="10">
        <v>10</v>
      </c>
      <c r="G3" s="10">
        <v>50</v>
      </c>
      <c r="H3" s="10">
        <v>100</v>
      </c>
      <c r="I3" s="185" t="s">
        <v>111</v>
      </c>
      <c r="K3" s="652" t="s">
        <v>481</v>
      </c>
      <c r="L3" s="652"/>
      <c r="M3" s="653"/>
      <c r="N3" s="654"/>
      <c r="O3" s="654"/>
      <c r="P3" s="654"/>
      <c r="Q3" s="655"/>
    </row>
    <row r="4" spans="1:22" ht="18" x14ac:dyDescent="0.35">
      <c r="A4" s="13"/>
      <c r="B4" s="10" t="s">
        <v>28</v>
      </c>
      <c r="D4" s="10" t="str">
        <f>B13</f>
        <v>Surface Float</v>
      </c>
      <c r="E4" s="98">
        <f>F20</f>
        <v>894241.14540025499</v>
      </c>
      <c r="F4" s="98">
        <f>G20*10</f>
        <v>6220786.6200600797</v>
      </c>
      <c r="G4" s="98">
        <f>H20*50</f>
        <v>27374083.799353056</v>
      </c>
      <c r="H4" s="98">
        <f>I20*100</f>
        <v>53048701.14896699</v>
      </c>
      <c r="I4" s="57">
        <f>E22</f>
        <v>205.44</v>
      </c>
      <c r="K4" s="643" t="s">
        <v>486</v>
      </c>
      <c r="L4" s="642"/>
      <c r="M4" s="643"/>
      <c r="N4" s="649"/>
      <c r="O4" s="649"/>
      <c r="P4" s="649"/>
      <c r="Q4" s="648"/>
    </row>
    <row r="5" spans="1:22" ht="15" x14ac:dyDescent="0.25">
      <c r="A5" s="13"/>
      <c r="B5" s="10" t="s">
        <v>29</v>
      </c>
      <c r="D5" s="66" t="str">
        <f>B26</f>
        <v>Vertical Column</v>
      </c>
      <c r="E5" s="98">
        <f>F33</f>
        <v>921357.27921035211</v>
      </c>
      <c r="F5" s="98">
        <f>G33*10</f>
        <v>6544935.4409701042</v>
      </c>
      <c r="G5" s="98">
        <f>H33*50</f>
        <v>29155570.072405908</v>
      </c>
      <c r="H5" s="98">
        <f>I33*100</f>
        <v>56827841.047422305</v>
      </c>
      <c r="I5" s="57">
        <f>E35</f>
        <v>223.64</v>
      </c>
      <c r="K5" s="650" t="s">
        <v>484</v>
      </c>
      <c r="L5" s="642"/>
      <c r="M5" s="643"/>
      <c r="N5" s="649"/>
      <c r="O5" s="649"/>
      <c r="P5" s="649"/>
      <c r="Q5" s="648"/>
    </row>
    <row r="6" spans="1:22" ht="18.75" x14ac:dyDescent="0.35">
      <c r="A6" s="13"/>
      <c r="B6" s="10" t="s">
        <v>30</v>
      </c>
      <c r="D6" s="66" t="str">
        <f>B38</f>
        <v>Reaction Plate</v>
      </c>
      <c r="E6" s="98">
        <f>F45</f>
        <v>1065825.467495176</v>
      </c>
      <c r="F6" s="98">
        <f>G45*10</f>
        <v>7503582.0533749359</v>
      </c>
      <c r="G6" s="98">
        <f>H45*50</f>
        <v>33223658.909539465</v>
      </c>
      <c r="H6" s="98">
        <f>I45*100</f>
        <v>64567902.954623803</v>
      </c>
      <c r="I6" s="57">
        <f>E47</f>
        <v>244.73</v>
      </c>
      <c r="K6" s="642" t="s">
        <v>489</v>
      </c>
      <c r="L6" s="642"/>
      <c r="M6" s="642" t="s">
        <v>487</v>
      </c>
      <c r="N6" s="642" t="s">
        <v>491</v>
      </c>
      <c r="O6" s="649"/>
      <c r="P6" s="642" t="s">
        <v>490</v>
      </c>
      <c r="Q6" s="648"/>
    </row>
    <row r="7" spans="1:22" ht="15" x14ac:dyDescent="0.25">
      <c r="A7" s="13"/>
      <c r="B7" s="10" t="s">
        <v>31</v>
      </c>
      <c r="D7" s="66" t="str">
        <f>B50</f>
        <v>Device Access (Railings, Ladders, etc)</v>
      </c>
      <c r="E7" s="103">
        <f>F55</f>
        <v>57628.477842115666</v>
      </c>
      <c r="F7" s="98">
        <f>G55*10</f>
        <v>405386.08228810242</v>
      </c>
      <c r="G7" s="98">
        <f>H55*50</f>
        <v>1795066.2556259686</v>
      </c>
      <c r="H7" s="98">
        <f>I55*100</f>
        <v>3488888.9030202618</v>
      </c>
      <c r="I7" s="57">
        <f>E57</f>
        <v>13.476199999999999</v>
      </c>
      <c r="K7" s="643" t="s">
        <v>485</v>
      </c>
      <c r="L7" s="643"/>
      <c r="M7" s="643"/>
      <c r="N7" s="649"/>
      <c r="O7" s="649"/>
      <c r="P7" s="649"/>
      <c r="Q7" s="648"/>
    </row>
    <row r="8" spans="1:22" ht="15" x14ac:dyDescent="0.25">
      <c r="A8" s="13"/>
      <c r="E8" s="98"/>
      <c r="F8" s="98"/>
      <c r="G8" s="98"/>
      <c r="H8" s="98"/>
      <c r="K8" s="651" t="s">
        <v>480</v>
      </c>
      <c r="L8" s="644"/>
      <c r="M8" s="643"/>
      <c r="N8" s="649"/>
      <c r="O8" s="649"/>
      <c r="P8" s="649"/>
      <c r="Q8" s="648"/>
    </row>
    <row r="9" spans="1:22" ht="15" x14ac:dyDescent="0.25">
      <c r="A9" s="13"/>
      <c r="C9" s="18" t="s">
        <v>81</v>
      </c>
      <c r="D9" s="18"/>
      <c r="E9" s="100">
        <f>SUM(E4:E7)</f>
        <v>2939052.3699478991</v>
      </c>
      <c r="F9" s="100">
        <f>SUM(F4:F7)</f>
        <v>20674690.196693219</v>
      </c>
      <c r="G9" s="100">
        <f>SUM(G4:G7)</f>
        <v>91548379.036924392</v>
      </c>
      <c r="H9" s="100">
        <f>SUM(H4:H7)</f>
        <v>177933334.05403334</v>
      </c>
      <c r="I9" s="20">
        <f>SUM(I4:I7)</f>
        <v>687.28619999999989</v>
      </c>
      <c r="K9" s="643"/>
      <c r="L9" s="643"/>
      <c r="M9" s="643" t="s">
        <v>492</v>
      </c>
      <c r="N9" s="649"/>
      <c r="O9" s="649"/>
      <c r="P9" s="649"/>
      <c r="Q9" s="648"/>
      <c r="R9" s="438"/>
      <c r="S9" s="438"/>
      <c r="T9" s="438"/>
      <c r="U9" s="438"/>
      <c r="V9" s="438"/>
    </row>
    <row r="10" spans="1:22" ht="15" x14ac:dyDescent="0.25">
      <c r="B10" s="13"/>
      <c r="E10" s="64">
        <f>(E9/$I$9)/E3</f>
        <v>4276.3151216304059</v>
      </c>
      <c r="F10" s="420">
        <f t="shared" ref="F10:H10" si="0">(F9/$I$9)/F3</f>
        <v>3008.1631490190293</v>
      </c>
      <c r="G10" s="420">
        <f t="shared" si="0"/>
        <v>2664.0540443537029</v>
      </c>
      <c r="H10" s="420">
        <f t="shared" si="0"/>
        <v>2588.9263316218685</v>
      </c>
      <c r="K10" s="637"/>
      <c r="L10" s="637"/>
      <c r="M10" s="637"/>
      <c r="N10" s="637"/>
      <c r="O10" s="637"/>
      <c r="P10" s="637"/>
      <c r="Q10" s="490"/>
      <c r="R10" s="490"/>
      <c r="S10" s="490"/>
      <c r="T10" s="490"/>
      <c r="U10" s="490"/>
      <c r="V10" s="438"/>
    </row>
    <row r="11" spans="1:22" ht="15" x14ac:dyDescent="0.25">
      <c r="F11" s="65"/>
      <c r="G11" s="65"/>
      <c r="K11" s="637"/>
      <c r="L11" s="637"/>
      <c r="M11" s="637"/>
      <c r="N11" s="637"/>
      <c r="O11" s="637"/>
      <c r="P11" s="637"/>
      <c r="Q11" s="490"/>
      <c r="R11" s="490"/>
      <c r="S11" s="490"/>
      <c r="T11" s="490"/>
      <c r="U11" s="490"/>
      <c r="V11" s="438"/>
    </row>
    <row r="12" spans="1:22" s="14" customFormat="1" ht="15" x14ac:dyDescent="0.25">
      <c r="C12" s="29"/>
      <c r="F12" s="26"/>
      <c r="G12" s="26"/>
      <c r="H12" s="26"/>
      <c r="I12" s="28"/>
      <c r="J12" s="26"/>
      <c r="K12" s="638"/>
      <c r="L12" s="639"/>
      <c r="M12" s="640"/>
      <c r="N12" s="637"/>
      <c r="O12" s="637"/>
      <c r="P12" s="637"/>
      <c r="Q12" s="490"/>
      <c r="R12" s="490"/>
      <c r="S12" s="490"/>
      <c r="T12" s="490"/>
      <c r="U12" s="490"/>
      <c r="V12" s="438"/>
    </row>
    <row r="13" spans="1:22" s="14" customFormat="1" ht="30.75" thickBot="1" x14ac:dyDescent="0.3">
      <c r="A13" s="31" t="s">
        <v>28</v>
      </c>
      <c r="B13" s="31" t="s">
        <v>251</v>
      </c>
      <c r="K13" s="657" t="s">
        <v>483</v>
      </c>
      <c r="L13" s="661" t="s">
        <v>493</v>
      </c>
      <c r="N13" s="645" t="s">
        <v>482</v>
      </c>
      <c r="O13" s="641"/>
      <c r="P13" s="641"/>
      <c r="Q13" s="490"/>
      <c r="R13" s="490"/>
      <c r="S13" s="490"/>
      <c r="T13" s="490"/>
      <c r="U13" s="490"/>
      <c r="V13" s="438"/>
    </row>
    <row r="14" spans="1:22" ht="36.75" thickTop="1" x14ac:dyDescent="0.35">
      <c r="F14" s="81" t="s">
        <v>85</v>
      </c>
      <c r="G14" s="81" t="s">
        <v>107</v>
      </c>
      <c r="H14" s="81" t="s">
        <v>109</v>
      </c>
      <c r="I14" s="81" t="s">
        <v>108</v>
      </c>
      <c r="K14" s="656" t="s">
        <v>488</v>
      </c>
      <c r="L14" s="659" t="s">
        <v>494</v>
      </c>
      <c r="N14" s="646" t="s">
        <v>476</v>
      </c>
      <c r="O14" s="647" t="s">
        <v>477</v>
      </c>
      <c r="P14" s="647" t="s">
        <v>478</v>
      </c>
      <c r="Q14" s="490"/>
      <c r="R14" s="490"/>
      <c r="S14" s="490"/>
      <c r="T14" s="490"/>
      <c r="U14" s="490"/>
      <c r="V14" s="438"/>
    </row>
    <row r="15" spans="1:22" ht="15" x14ac:dyDescent="0.25">
      <c r="C15" s="10" t="s">
        <v>130</v>
      </c>
      <c r="F15" s="613">
        <v>440328.23313186696</v>
      </c>
      <c r="G15" s="618">
        <v>371343.60666105297</v>
      </c>
      <c r="H15" s="618">
        <v>352262.58650549361</v>
      </c>
      <c r="I15" s="618">
        <v>352262.58650549361</v>
      </c>
      <c r="J15" s="16"/>
      <c r="K15" s="660">
        <f>I15/H15</f>
        <v>1</v>
      </c>
      <c r="L15" s="658">
        <f>1-K15</f>
        <v>0</v>
      </c>
      <c r="N15" s="631">
        <f t="shared" ref="N15:P18" si="1">(G15-F15)/F15</f>
        <v>-0.15666637131159128</v>
      </c>
      <c r="O15" s="631">
        <f t="shared" si="1"/>
        <v>-5.1383731437109982E-2</v>
      </c>
      <c r="P15" s="631">
        <f t="shared" si="1"/>
        <v>0</v>
      </c>
      <c r="Q15" s="490"/>
      <c r="R15" s="490"/>
      <c r="S15" s="490"/>
      <c r="T15" s="490"/>
      <c r="U15" s="490"/>
      <c r="V15" s="438"/>
    </row>
    <row r="16" spans="1:22" ht="15" x14ac:dyDescent="0.25">
      <c r="C16" s="10" t="s">
        <v>131</v>
      </c>
      <c r="F16" s="613">
        <v>259506.7383354773</v>
      </c>
      <c r="G16" s="618">
        <v>182871.29727293825</v>
      </c>
      <c r="H16" s="618">
        <v>143185.79754117693</v>
      </c>
      <c r="I16" s="618">
        <v>128867.21778705923</v>
      </c>
      <c r="J16" s="16"/>
      <c r="K16" s="660">
        <f t="shared" ref="K16:K18" si="2">I16/H16</f>
        <v>0.89999999999999991</v>
      </c>
      <c r="L16" s="658">
        <f t="shared" ref="L16:L18" si="3">1-K16</f>
        <v>0.10000000000000009</v>
      </c>
      <c r="N16" s="631">
        <f t="shared" si="1"/>
        <v>-0.29531195048765402</v>
      </c>
      <c r="O16" s="631">
        <f t="shared" si="1"/>
        <v>-0.21701327831961564</v>
      </c>
      <c r="P16" s="631">
        <f t="shared" si="1"/>
        <v>-0.10000000000000006</v>
      </c>
      <c r="Q16" s="490"/>
      <c r="R16" s="490"/>
      <c r="S16" s="490"/>
      <c r="T16" s="490"/>
      <c r="U16" s="490"/>
      <c r="V16" s="438"/>
    </row>
    <row r="17" spans="1:22" s="70" customFormat="1" ht="15" x14ac:dyDescent="0.25">
      <c r="C17" s="70" t="s">
        <v>154</v>
      </c>
      <c r="F17" s="613">
        <v>113111.52435106934</v>
      </c>
      <c r="G17" s="613">
        <v>11311.152435106933</v>
      </c>
      <c r="H17" s="613">
        <v>2262.2304870213866</v>
      </c>
      <c r="I17" s="613">
        <v>1131.1152435106933</v>
      </c>
      <c r="J17" s="41"/>
      <c r="K17" s="660">
        <f t="shared" si="2"/>
        <v>0.5</v>
      </c>
      <c r="L17" s="658">
        <f t="shared" si="3"/>
        <v>0.5</v>
      </c>
      <c r="N17" s="631">
        <f t="shared" si="1"/>
        <v>-0.89999999999999991</v>
      </c>
      <c r="O17" s="631">
        <f t="shared" si="1"/>
        <v>-0.8</v>
      </c>
      <c r="P17" s="631">
        <f t="shared" si="1"/>
        <v>-0.5</v>
      </c>
      <c r="Q17" s="435"/>
      <c r="R17" s="435"/>
      <c r="S17" s="435"/>
      <c r="T17" s="435"/>
      <c r="U17" s="490"/>
      <c r="V17" s="438"/>
    </row>
    <row r="18" spans="1:22" ht="15" x14ac:dyDescent="0.25">
      <c r="C18" s="15" t="s">
        <v>112</v>
      </c>
      <c r="D18" s="14"/>
      <c r="E18" s="14"/>
      <c r="F18" s="613">
        <v>81294.649581841368</v>
      </c>
      <c r="G18" s="613">
        <v>56552.605636909815</v>
      </c>
      <c r="H18" s="613">
        <v>49771.061453369191</v>
      </c>
      <c r="I18" s="613">
        <v>48226.091953606359</v>
      </c>
      <c r="J18" s="16"/>
      <c r="K18" s="660">
        <f t="shared" si="2"/>
        <v>0.96895847798604173</v>
      </c>
      <c r="L18" s="658">
        <f t="shared" si="3"/>
        <v>3.1041522013958267E-2</v>
      </c>
      <c r="N18" s="631">
        <f t="shared" si="1"/>
        <v>-0.30435021335596157</v>
      </c>
      <c r="O18" s="631">
        <f t="shared" si="1"/>
        <v>-0.119915680403496</v>
      </c>
      <c r="P18" s="631">
        <f t="shared" si="1"/>
        <v>-3.1041522013958319E-2</v>
      </c>
      <c r="Q18" s="490"/>
      <c r="R18" s="490"/>
      <c r="S18" s="490"/>
      <c r="T18" s="490"/>
      <c r="U18" s="490"/>
      <c r="V18" s="438"/>
    </row>
    <row r="19" spans="1:22" s="70" customFormat="1" ht="15" x14ac:dyDescent="0.25">
      <c r="C19" s="62"/>
      <c r="D19" s="67"/>
      <c r="E19" s="67"/>
      <c r="F19" s="305"/>
      <c r="G19" s="305"/>
      <c r="H19" s="305"/>
      <c r="I19" s="305"/>
      <c r="J19" s="41"/>
      <c r="L19" s="490"/>
      <c r="N19" s="631"/>
      <c r="O19" s="631"/>
      <c r="P19" s="631"/>
      <c r="Q19" s="490"/>
      <c r="R19" s="490"/>
      <c r="S19" s="490"/>
      <c r="T19" s="490"/>
      <c r="U19" s="490"/>
      <c r="V19" s="438"/>
    </row>
    <row r="20" spans="1:22" s="60" customFormat="1" ht="15" x14ac:dyDescent="0.25">
      <c r="C20" s="102" t="s">
        <v>81</v>
      </c>
      <c r="D20" s="24"/>
      <c r="E20" s="24"/>
      <c r="F20" s="292">
        <f>SUM(F15:F18)</f>
        <v>894241.14540025499</v>
      </c>
      <c r="G20" s="292">
        <f>SUM(G15:G18)</f>
        <v>622078.66200600797</v>
      </c>
      <c r="H20" s="292">
        <f>SUM(H15:H18)</f>
        <v>547481.67598706111</v>
      </c>
      <c r="I20" s="292">
        <f>SUM(I15:I18)</f>
        <v>530487.01148966991</v>
      </c>
      <c r="J20" s="101"/>
      <c r="N20" s="631">
        <f>(G20-F20)/F20</f>
        <v>-0.30435021335596152</v>
      </c>
      <c r="O20" s="631">
        <f>(H20-G20)/G20</f>
        <v>-0.119915680403496</v>
      </c>
      <c r="P20" s="631">
        <f>(I20-H20)/H20</f>
        <v>-3.1041522013958413E-2</v>
      </c>
      <c r="Q20" s="493"/>
      <c r="R20" s="493"/>
      <c r="S20" s="493"/>
      <c r="T20" s="493"/>
      <c r="U20" s="493"/>
      <c r="V20" s="418"/>
    </row>
    <row r="21" spans="1:22" ht="15" x14ac:dyDescent="0.25">
      <c r="C21" s="414" t="s">
        <v>186</v>
      </c>
      <c r="D21" s="14"/>
      <c r="E21" s="14"/>
      <c r="F21" s="25">
        <f>F20/$E$22</f>
        <v>4352.8093136694652</v>
      </c>
      <c r="G21" s="25">
        <f t="shared" ref="G21:I21" si="4">G20/$E$22</f>
        <v>3028.0308703563474</v>
      </c>
      <c r="H21" s="25">
        <f t="shared" si="4"/>
        <v>2664.9224882547755</v>
      </c>
      <c r="I21" s="25">
        <f t="shared" si="4"/>
        <v>2582.199238170122</v>
      </c>
      <c r="J21" s="16"/>
      <c r="N21" s="490"/>
      <c r="O21" s="490"/>
      <c r="P21" s="490"/>
      <c r="Q21" s="490"/>
      <c r="R21" s="490"/>
      <c r="S21" s="490"/>
      <c r="T21" s="490"/>
      <c r="U21" s="490"/>
      <c r="V21" s="438"/>
    </row>
    <row r="22" spans="1:22" ht="15" x14ac:dyDescent="0.25">
      <c r="C22" s="15" t="s">
        <v>113</v>
      </c>
      <c r="D22" s="14"/>
      <c r="E22" s="25">
        <v>205.44</v>
      </c>
      <c r="F22" s="32" t="s">
        <v>153</v>
      </c>
      <c r="G22" s="27"/>
      <c r="H22" s="27"/>
      <c r="I22" s="27"/>
      <c r="J22" s="16"/>
      <c r="N22" s="490"/>
      <c r="O22" s="490"/>
      <c r="P22" s="490"/>
      <c r="Q22" s="490"/>
      <c r="R22" s="490"/>
      <c r="S22" s="490"/>
      <c r="T22" s="490"/>
      <c r="U22" s="490"/>
      <c r="V22" s="438"/>
    </row>
    <row r="23" spans="1:22" x14ac:dyDescent="0.3">
      <c r="C23" s="15"/>
      <c r="F23" s="34"/>
      <c r="N23" s="490"/>
      <c r="O23" s="490"/>
      <c r="P23" s="490"/>
      <c r="Q23" s="490"/>
      <c r="R23" s="490"/>
      <c r="S23" s="490"/>
      <c r="T23" s="490"/>
      <c r="U23" s="490"/>
      <c r="V23" s="438"/>
    </row>
    <row r="24" spans="1:22" x14ac:dyDescent="0.3">
      <c r="C24" s="15"/>
      <c r="N24" s="490"/>
      <c r="O24" s="490"/>
      <c r="P24" s="490"/>
      <c r="Q24" s="490"/>
      <c r="R24" s="490"/>
      <c r="S24" s="490"/>
      <c r="T24" s="490"/>
      <c r="U24" s="490"/>
      <c r="V24" s="438"/>
    </row>
    <row r="25" spans="1:22" x14ac:dyDescent="0.3">
      <c r="N25" s="490"/>
      <c r="O25" s="490"/>
      <c r="P25" s="490"/>
      <c r="Q25" s="490"/>
      <c r="R25" s="490"/>
      <c r="S25" s="490"/>
      <c r="T25" s="490"/>
      <c r="U25" s="490"/>
      <c r="V25" s="438"/>
    </row>
    <row r="26" spans="1:22" x14ac:dyDescent="0.3">
      <c r="A26" s="11" t="s">
        <v>29</v>
      </c>
      <c r="B26" s="31" t="s">
        <v>252</v>
      </c>
      <c r="N26" s="490"/>
      <c r="O26" s="490"/>
      <c r="P26" s="490"/>
      <c r="Q26" s="490"/>
      <c r="R26" s="490"/>
      <c r="S26" s="490"/>
      <c r="T26" s="490"/>
      <c r="U26" s="490"/>
      <c r="V26" s="438"/>
    </row>
    <row r="27" spans="1:22" x14ac:dyDescent="0.3">
      <c r="F27" s="81" t="s">
        <v>85</v>
      </c>
      <c r="G27" s="81" t="s">
        <v>107</v>
      </c>
      <c r="H27" s="81" t="s">
        <v>109</v>
      </c>
      <c r="I27" s="81" t="s">
        <v>108</v>
      </c>
      <c r="N27" s="632" t="s">
        <v>476</v>
      </c>
      <c r="O27" s="633" t="s">
        <v>477</v>
      </c>
      <c r="P27" s="633" t="s">
        <v>478</v>
      </c>
      <c r="Q27" s="490"/>
      <c r="R27" s="490"/>
      <c r="S27" s="490"/>
      <c r="T27" s="490"/>
      <c r="U27" s="490"/>
      <c r="V27" s="438"/>
    </row>
    <row r="28" spans="1:22" x14ac:dyDescent="0.3">
      <c r="C28" s="10" t="s">
        <v>132</v>
      </c>
      <c r="F28" s="613">
        <v>504860.14534152613</v>
      </c>
      <c r="G28" s="618">
        <v>425765.53835102671</v>
      </c>
      <c r="H28" s="618">
        <v>403888.11627322092</v>
      </c>
      <c r="I28" s="618">
        <v>403888.11627322092</v>
      </c>
      <c r="J28" s="16"/>
      <c r="K28" s="660">
        <f>I28/H28</f>
        <v>1</v>
      </c>
      <c r="L28" s="658">
        <f>1-K28</f>
        <v>0</v>
      </c>
      <c r="N28" s="631">
        <f t="shared" ref="N28:P31" si="5">(G28-F28)/F28</f>
        <v>-0.15666637131159117</v>
      </c>
      <c r="O28" s="631">
        <f t="shared" si="5"/>
        <v>-5.1383731437110183E-2</v>
      </c>
      <c r="P28" s="631">
        <f t="shared" si="5"/>
        <v>0</v>
      </c>
      <c r="Q28" s="490"/>
      <c r="R28" s="490"/>
      <c r="S28" s="490"/>
      <c r="T28" s="490"/>
      <c r="U28" s="490"/>
      <c r="V28" s="438"/>
    </row>
    <row r="29" spans="1:22" ht="15.75" customHeight="1" x14ac:dyDescent="0.3">
      <c r="C29" s="10" t="s">
        <v>131</v>
      </c>
      <c r="F29" s="613">
        <v>224834.69722043158</v>
      </c>
      <c r="G29" s="618">
        <v>158438.3242469648</v>
      </c>
      <c r="H29" s="618">
        <v>124055.10409066474</v>
      </c>
      <c r="I29" s="618">
        <v>111649.59368159824</v>
      </c>
      <c r="J29" s="16"/>
      <c r="K29" s="660">
        <f t="shared" ref="K29:K31" si="6">I29/H29</f>
        <v>0.8999999999999998</v>
      </c>
      <c r="L29" s="658">
        <f t="shared" ref="L29:L31" si="7">1-K29</f>
        <v>0.1000000000000002</v>
      </c>
      <c r="N29" s="631">
        <f t="shared" si="5"/>
        <v>-0.29531195048765407</v>
      </c>
      <c r="O29" s="631">
        <f t="shared" si="5"/>
        <v>-0.2170132783196155</v>
      </c>
      <c r="P29" s="631">
        <f t="shared" si="5"/>
        <v>-0.10000000000000019</v>
      </c>
      <c r="Q29" s="435"/>
      <c r="R29" s="435"/>
      <c r="S29" s="435"/>
      <c r="T29" s="435"/>
      <c r="U29" s="490"/>
      <c r="V29" s="438"/>
    </row>
    <row r="30" spans="1:22" s="70" customFormat="1" ht="15.75" customHeight="1" x14ac:dyDescent="0.3">
      <c r="C30" s="70" t="s">
        <v>155</v>
      </c>
      <c r="F30" s="613">
        <v>107902.68399290793</v>
      </c>
      <c r="G30" s="613">
        <v>10790.268399290793</v>
      </c>
      <c r="H30" s="613">
        <v>2158.0536798581588</v>
      </c>
      <c r="I30" s="613">
        <v>1079.0268399290794</v>
      </c>
      <c r="J30" s="41"/>
      <c r="K30" s="660">
        <f t="shared" si="6"/>
        <v>0.5</v>
      </c>
      <c r="L30" s="658">
        <f t="shared" si="7"/>
        <v>0.5</v>
      </c>
      <c r="N30" s="631">
        <f t="shared" si="5"/>
        <v>-0.89999999999999991</v>
      </c>
      <c r="O30" s="631">
        <f t="shared" si="5"/>
        <v>-0.8</v>
      </c>
      <c r="P30" s="631">
        <f t="shared" si="5"/>
        <v>-0.5</v>
      </c>
      <c r="Q30" s="435"/>
      <c r="R30" s="435"/>
      <c r="S30" s="435"/>
      <c r="T30" s="435"/>
      <c r="U30" s="490"/>
      <c r="V30" s="438"/>
    </row>
    <row r="31" spans="1:22" x14ac:dyDescent="0.3">
      <c r="C31" s="10" t="s">
        <v>112</v>
      </c>
      <c r="F31" s="613">
        <v>83759.752655486562</v>
      </c>
      <c r="G31" s="613">
        <v>59499.413099728226</v>
      </c>
      <c r="H31" s="613">
        <v>53010.127404374376</v>
      </c>
      <c r="I31" s="613">
        <v>51661.673679474829</v>
      </c>
      <c r="J31" s="16"/>
      <c r="K31" s="660">
        <f t="shared" si="6"/>
        <v>0.97456233759611233</v>
      </c>
      <c r="L31" s="658">
        <f t="shared" si="7"/>
        <v>2.5437662403887673E-2</v>
      </c>
      <c r="N31" s="631">
        <f t="shared" si="5"/>
        <v>-0.28964196749176047</v>
      </c>
      <c r="O31" s="631">
        <f t="shared" si="5"/>
        <v>-0.10906470093204149</v>
      </c>
      <c r="P31" s="631">
        <f t="shared" si="5"/>
        <v>-2.5437662403887631E-2</v>
      </c>
      <c r="Q31" s="490"/>
      <c r="R31" s="490"/>
      <c r="S31" s="490"/>
      <c r="T31" s="490"/>
      <c r="U31" s="490"/>
      <c r="V31" s="438"/>
    </row>
    <row r="32" spans="1:22" s="70" customFormat="1" x14ac:dyDescent="0.3">
      <c r="F32" s="204"/>
      <c r="G32" s="204"/>
      <c r="H32" s="204"/>
      <c r="I32" s="204"/>
      <c r="J32" s="41"/>
      <c r="N32" s="631"/>
      <c r="O32" s="631"/>
      <c r="P32" s="631"/>
      <c r="Q32" s="490"/>
      <c r="R32" s="490"/>
      <c r="S32" s="490"/>
      <c r="T32" s="490"/>
      <c r="U32" s="490"/>
      <c r="V32" s="438"/>
    </row>
    <row r="33" spans="1:22" s="60" customFormat="1" x14ac:dyDescent="0.3">
      <c r="C33" s="24" t="s">
        <v>81</v>
      </c>
      <c r="D33" s="24"/>
      <c r="E33" s="24"/>
      <c r="F33" s="104">
        <f>SUM(F28:F31)</f>
        <v>921357.27921035211</v>
      </c>
      <c r="G33" s="104">
        <f t="shared" ref="G33:I33" si="8">SUM(G28:G31)</f>
        <v>654493.5440970104</v>
      </c>
      <c r="H33" s="104">
        <f t="shared" si="8"/>
        <v>583111.40144811815</v>
      </c>
      <c r="I33" s="104">
        <f t="shared" si="8"/>
        <v>568278.41047422308</v>
      </c>
      <c r="J33" s="101"/>
      <c r="N33" s="631">
        <f>(G33-F33)/F33</f>
        <v>-0.28964196749176052</v>
      </c>
      <c r="O33" s="631">
        <f>(H33-G33)/G33</f>
        <v>-0.10906470093204133</v>
      </c>
      <c r="P33" s="631">
        <f>(I33-H33)/H33</f>
        <v>-2.5437662403887708E-2</v>
      </c>
      <c r="Q33" s="493"/>
      <c r="R33" s="493"/>
      <c r="S33" s="493"/>
      <c r="T33" s="493"/>
      <c r="U33" s="493"/>
      <c r="V33" s="418"/>
    </row>
    <row r="34" spans="1:22" s="70" customFormat="1" x14ac:dyDescent="0.3">
      <c r="C34" s="29" t="s">
        <v>186</v>
      </c>
      <c r="F34" s="182">
        <f>F33/$E$35</f>
        <v>4119.8232838953327</v>
      </c>
      <c r="G34" s="182">
        <f>G33/$E$35</f>
        <v>2926.5495622295225</v>
      </c>
      <c r="H34" s="474">
        <f t="shared" ref="H34:I34" si="9">H33/$E$35</f>
        <v>2607.3663094621634</v>
      </c>
      <c r="I34" s="474">
        <f t="shared" si="9"/>
        <v>2541.041005518794</v>
      </c>
      <c r="J34" s="41"/>
      <c r="N34" s="490"/>
      <c r="O34" s="490"/>
      <c r="P34" s="490"/>
      <c r="Q34" s="490"/>
      <c r="R34" s="490"/>
      <c r="S34" s="490"/>
      <c r="T34" s="490"/>
      <c r="U34" s="490"/>
      <c r="V34" s="438"/>
    </row>
    <row r="35" spans="1:22" x14ac:dyDescent="0.3">
      <c r="C35" s="15" t="s">
        <v>113</v>
      </c>
      <c r="D35" s="14"/>
      <c r="E35" s="72">
        <v>223.64</v>
      </c>
      <c r="F35" s="26" t="s">
        <v>153</v>
      </c>
      <c r="G35" s="26"/>
      <c r="H35" s="26"/>
      <c r="I35" s="28"/>
      <c r="J35" s="16"/>
      <c r="N35" s="490"/>
      <c r="O35" s="490"/>
      <c r="P35" s="490"/>
      <c r="Q35" s="490"/>
      <c r="R35" s="490"/>
      <c r="S35" s="490"/>
      <c r="T35" s="490"/>
      <c r="U35" s="490"/>
      <c r="V35" s="438"/>
    </row>
    <row r="36" spans="1:22" x14ac:dyDescent="0.3">
      <c r="C36" s="15"/>
      <c r="D36" s="14"/>
      <c r="E36" s="14"/>
      <c r="F36" s="33"/>
      <c r="G36" s="26"/>
      <c r="H36" s="26"/>
      <c r="I36" s="26"/>
      <c r="J36" s="16"/>
      <c r="N36" s="490"/>
      <c r="O36" s="490"/>
      <c r="P36" s="490"/>
      <c r="Q36" s="490"/>
      <c r="R36" s="490"/>
      <c r="S36" s="490"/>
      <c r="T36" s="490"/>
      <c r="U36" s="490"/>
      <c r="V36" s="438"/>
    </row>
    <row r="37" spans="1:22" x14ac:dyDescent="0.3">
      <c r="N37" s="490"/>
      <c r="O37" s="490"/>
      <c r="P37" s="490"/>
      <c r="Q37" s="490"/>
      <c r="R37" s="490"/>
      <c r="S37" s="490"/>
      <c r="T37" s="490"/>
      <c r="U37" s="490"/>
      <c r="V37" s="438"/>
    </row>
    <row r="38" spans="1:22" x14ac:dyDescent="0.3">
      <c r="A38" s="11" t="s">
        <v>30</v>
      </c>
      <c r="B38" s="31" t="s">
        <v>253</v>
      </c>
      <c r="N38" s="490"/>
      <c r="O38" s="490"/>
      <c r="P38" s="490"/>
      <c r="Q38" s="490"/>
      <c r="R38" s="490"/>
      <c r="S38" s="490"/>
      <c r="T38" s="490"/>
      <c r="U38" s="490"/>
      <c r="V38" s="438"/>
    </row>
    <row r="39" spans="1:22" x14ac:dyDescent="0.3">
      <c r="F39" s="81" t="s">
        <v>85</v>
      </c>
      <c r="G39" s="81" t="s">
        <v>107</v>
      </c>
      <c r="H39" s="81" t="s">
        <v>109</v>
      </c>
      <c r="I39" s="81" t="s">
        <v>108</v>
      </c>
      <c r="N39" s="632" t="s">
        <v>476</v>
      </c>
      <c r="O39" s="633" t="s">
        <v>477</v>
      </c>
      <c r="P39" s="633" t="s">
        <v>478</v>
      </c>
      <c r="Q39" s="490"/>
      <c r="R39" s="490"/>
      <c r="S39" s="490"/>
      <c r="T39" s="490"/>
      <c r="U39" s="490"/>
      <c r="V39" s="438"/>
    </row>
    <row r="40" spans="1:22" x14ac:dyDescent="0.3">
      <c r="C40" s="10" t="s">
        <v>130</v>
      </c>
      <c r="F40" s="613">
        <v>554330.91668245511</v>
      </c>
      <c r="G40" s="618">
        <v>467485.90345998685</v>
      </c>
      <c r="H40" s="618">
        <v>443464.73334596411</v>
      </c>
      <c r="I40" s="618">
        <v>443464.73334596411</v>
      </c>
      <c r="K40" s="660">
        <f>I40/H40</f>
        <v>1</v>
      </c>
      <c r="L40" s="658">
        <f>1-K40</f>
        <v>0</v>
      </c>
      <c r="N40" s="631">
        <f t="shared" ref="N40:P43" si="10">(G40-F40)/F40</f>
        <v>-0.15666637131159125</v>
      </c>
      <c r="O40" s="631">
        <f t="shared" si="10"/>
        <v>-5.1383731437110086E-2</v>
      </c>
      <c r="P40" s="631">
        <f t="shared" si="10"/>
        <v>0</v>
      </c>
      <c r="Q40" s="490"/>
      <c r="R40" s="490"/>
      <c r="S40" s="490"/>
      <c r="T40" s="490"/>
      <c r="U40" s="490"/>
      <c r="V40" s="438"/>
    </row>
    <row r="41" spans="1:22" x14ac:dyDescent="0.3">
      <c r="C41" s="10" t="s">
        <v>131</v>
      </c>
      <c r="F41" s="613">
        <v>286425.02041222213</v>
      </c>
      <c r="G41" s="618">
        <v>201840.28896582269</v>
      </c>
      <c r="H41" s="618">
        <v>158038.26616037099</v>
      </c>
      <c r="I41" s="618">
        <v>142234.43954433387</v>
      </c>
      <c r="K41" s="660">
        <f t="shared" ref="K41:K43" si="11">I41/H41</f>
        <v>0.89999999999999991</v>
      </c>
      <c r="L41" s="658">
        <f t="shared" ref="L41:L43" si="12">1-K41</f>
        <v>0.10000000000000009</v>
      </c>
      <c r="N41" s="631">
        <f t="shared" si="10"/>
        <v>-0.29531195048765402</v>
      </c>
      <c r="O41" s="631">
        <f t="shared" si="10"/>
        <v>-0.21701327831961553</v>
      </c>
      <c r="P41" s="631">
        <f t="shared" si="10"/>
        <v>-0.10000000000000009</v>
      </c>
      <c r="Q41" s="435"/>
      <c r="R41" s="435"/>
      <c r="S41" s="435"/>
      <c r="T41" s="435"/>
      <c r="U41" s="490"/>
      <c r="V41" s="438"/>
    </row>
    <row r="42" spans="1:22" s="70" customFormat="1" x14ac:dyDescent="0.3">
      <c r="C42" s="70" t="s">
        <v>156</v>
      </c>
      <c r="F42" s="613">
        <v>128176.30608275552</v>
      </c>
      <c r="G42" s="613">
        <v>12817.630608275551</v>
      </c>
      <c r="H42" s="613">
        <v>2563.5261216551107</v>
      </c>
      <c r="I42" s="613">
        <v>1281.7630608275554</v>
      </c>
      <c r="K42" s="660">
        <f t="shared" si="11"/>
        <v>0.5</v>
      </c>
      <c r="L42" s="658">
        <f t="shared" si="12"/>
        <v>0.5</v>
      </c>
      <c r="N42" s="631">
        <f t="shared" si="10"/>
        <v>-0.9</v>
      </c>
      <c r="O42" s="631">
        <f t="shared" si="10"/>
        <v>-0.79999999999999993</v>
      </c>
      <c r="P42" s="631">
        <f t="shared" si="10"/>
        <v>-0.5</v>
      </c>
      <c r="Q42" s="435"/>
      <c r="R42" s="435"/>
      <c r="S42" s="435"/>
      <c r="T42" s="435"/>
      <c r="U42" s="490"/>
      <c r="V42" s="438"/>
    </row>
    <row r="43" spans="1:22" x14ac:dyDescent="0.3">
      <c r="C43" s="14" t="s">
        <v>112</v>
      </c>
      <c r="D43" s="14"/>
      <c r="E43" s="14"/>
      <c r="F43" s="613">
        <v>96893.224317743283</v>
      </c>
      <c r="G43" s="613">
        <v>68214.382303408507</v>
      </c>
      <c r="H43" s="613">
        <v>60406.652562799027</v>
      </c>
      <c r="I43" s="613">
        <v>58698.093595112558</v>
      </c>
      <c r="K43" s="660">
        <f t="shared" si="11"/>
        <v>0.97171571515388566</v>
      </c>
      <c r="L43" s="658">
        <f t="shared" si="12"/>
        <v>2.8284284846114338E-2</v>
      </c>
      <c r="N43" s="631">
        <f t="shared" si="10"/>
        <v>-0.29598397840790036</v>
      </c>
      <c r="O43" s="631">
        <f t="shared" si="10"/>
        <v>-0.11445870323770926</v>
      </c>
      <c r="P43" s="631">
        <f t="shared" si="10"/>
        <v>-2.8284284846114321E-2</v>
      </c>
      <c r="Q43" s="490"/>
      <c r="R43" s="490"/>
      <c r="S43" s="490"/>
      <c r="T43" s="490"/>
      <c r="U43" s="490"/>
      <c r="V43" s="438"/>
    </row>
    <row r="44" spans="1:22" s="70" customFormat="1" x14ac:dyDescent="0.3">
      <c r="C44" s="67"/>
      <c r="D44" s="67"/>
      <c r="E44" s="67"/>
      <c r="F44" s="175"/>
      <c r="G44" s="175"/>
      <c r="H44" s="175"/>
      <c r="I44" s="175"/>
      <c r="N44" s="631"/>
      <c r="O44" s="631"/>
      <c r="P44" s="631"/>
      <c r="Q44" s="490"/>
      <c r="R44" s="490"/>
      <c r="S44" s="490"/>
      <c r="T44" s="490"/>
      <c r="U44" s="490"/>
      <c r="V44" s="438"/>
    </row>
    <row r="45" spans="1:22" s="60" customFormat="1" x14ac:dyDescent="0.3">
      <c r="C45" s="102" t="s">
        <v>81</v>
      </c>
      <c r="D45" s="24"/>
      <c r="E45" s="24"/>
      <c r="F45" s="104">
        <f>SUM(F40:F43)</f>
        <v>1065825.467495176</v>
      </c>
      <c r="G45" s="104">
        <f t="shared" ref="G45:I45" si="13">SUM(G40:G43)</f>
        <v>750358.20533749356</v>
      </c>
      <c r="H45" s="104">
        <f t="shared" si="13"/>
        <v>664473.1781907893</v>
      </c>
      <c r="I45" s="104">
        <f t="shared" si="13"/>
        <v>645679.02954623802</v>
      </c>
      <c r="N45" s="631">
        <f>(G45-F45)/F45</f>
        <v>-0.29598397840790031</v>
      </c>
      <c r="O45" s="631">
        <f>(H45-G45)/G45</f>
        <v>-0.11445870323770924</v>
      </c>
      <c r="P45" s="631">
        <f>(I45-H45)/H45</f>
        <v>-2.8284284846114505E-2</v>
      </c>
      <c r="Q45" s="493"/>
      <c r="R45" s="493"/>
      <c r="S45" s="493"/>
      <c r="T45" s="493"/>
      <c r="U45" s="493"/>
      <c r="V45" s="418"/>
    </row>
    <row r="46" spans="1:22" x14ac:dyDescent="0.3">
      <c r="C46" s="29" t="s">
        <v>186</v>
      </c>
      <c r="D46" s="14"/>
      <c r="E46" s="14"/>
      <c r="F46" s="26">
        <f>F45/$E$47</f>
        <v>4355.1075368576639</v>
      </c>
      <c r="G46" s="446">
        <f t="shared" ref="G46:I46" si="14">G45/$E$47</f>
        <v>3066.065481704301</v>
      </c>
      <c r="H46" s="446">
        <f t="shared" si="14"/>
        <v>2715.1276026265245</v>
      </c>
      <c r="I46" s="446">
        <f t="shared" si="14"/>
        <v>2638.3321601202879</v>
      </c>
      <c r="N46" s="490"/>
      <c r="O46" s="490"/>
      <c r="P46" s="490"/>
      <c r="Q46" s="490"/>
      <c r="R46" s="490"/>
      <c r="S46" s="490"/>
      <c r="T46" s="490"/>
      <c r="U46" s="490"/>
      <c r="V46" s="438"/>
    </row>
    <row r="47" spans="1:22" x14ac:dyDescent="0.3">
      <c r="C47" s="15" t="s">
        <v>113</v>
      </c>
      <c r="D47" s="14"/>
      <c r="E47" s="72">
        <v>244.73</v>
      </c>
      <c r="F47" s="25" t="s">
        <v>153</v>
      </c>
      <c r="G47" s="26"/>
      <c r="H47" s="26"/>
      <c r="I47" s="26"/>
      <c r="N47" s="490"/>
      <c r="O47" s="490"/>
      <c r="P47" s="490"/>
      <c r="Q47" s="490"/>
      <c r="R47" s="490"/>
      <c r="S47" s="490"/>
      <c r="T47" s="490"/>
      <c r="U47" s="490"/>
      <c r="V47" s="438"/>
    </row>
    <row r="48" spans="1:22" x14ac:dyDescent="0.3">
      <c r="N48" s="490"/>
      <c r="O48" s="490"/>
      <c r="P48" s="490"/>
      <c r="Q48" s="490"/>
      <c r="R48" s="490"/>
      <c r="S48" s="490"/>
      <c r="T48" s="490"/>
      <c r="U48" s="490"/>
      <c r="V48" s="438"/>
    </row>
    <row r="49" spans="1:22" x14ac:dyDescent="0.3">
      <c r="F49" s="12"/>
      <c r="G49" s="12"/>
      <c r="H49" s="12"/>
      <c r="I49" s="12"/>
      <c r="J49" s="12"/>
      <c r="N49" s="490"/>
      <c r="O49" s="490"/>
      <c r="P49" s="490"/>
      <c r="Q49" s="490"/>
      <c r="R49" s="490"/>
      <c r="S49" s="490"/>
      <c r="T49" s="490"/>
      <c r="U49" s="490"/>
      <c r="V49" s="438"/>
    </row>
    <row r="50" spans="1:22" x14ac:dyDescent="0.3">
      <c r="A50" s="59" t="s">
        <v>31</v>
      </c>
      <c r="B50" s="59" t="s">
        <v>63</v>
      </c>
      <c r="C50" s="66"/>
      <c r="D50" s="66"/>
      <c r="E50" s="66"/>
      <c r="F50" s="66"/>
      <c r="G50" s="66"/>
      <c r="H50" s="66"/>
      <c r="I50" s="66"/>
      <c r="J50" s="16"/>
      <c r="N50" s="490"/>
      <c r="O50" s="490"/>
      <c r="P50" s="490"/>
      <c r="Q50" s="490"/>
      <c r="R50" s="490"/>
      <c r="S50" s="490"/>
      <c r="T50" s="490"/>
      <c r="U50" s="490"/>
      <c r="V50" s="438"/>
    </row>
    <row r="51" spans="1:22" x14ac:dyDescent="0.3">
      <c r="A51" s="66"/>
      <c r="B51" s="66"/>
      <c r="C51" s="66"/>
      <c r="D51" s="66"/>
      <c r="E51" s="66"/>
      <c r="F51" s="63" t="s">
        <v>85</v>
      </c>
      <c r="G51" s="63" t="s">
        <v>107</v>
      </c>
      <c r="H51" s="63" t="s">
        <v>109</v>
      </c>
      <c r="I51" s="63" t="s">
        <v>108</v>
      </c>
      <c r="N51" s="632" t="s">
        <v>476</v>
      </c>
      <c r="O51" s="633" t="s">
        <v>477</v>
      </c>
      <c r="P51" s="633" t="s">
        <v>478</v>
      </c>
      <c r="Q51" s="490"/>
      <c r="R51" s="490"/>
      <c r="S51" s="490"/>
      <c r="T51" s="490"/>
      <c r="U51" s="490"/>
      <c r="V51" s="438"/>
    </row>
    <row r="52" spans="1:22" s="70" customFormat="1" x14ac:dyDescent="0.3">
      <c r="C52" s="70" t="s">
        <v>152</v>
      </c>
      <c r="F52" s="103">
        <f>F45+F33+F20</f>
        <v>2881423.8921057833</v>
      </c>
      <c r="G52" s="413">
        <f t="shared" ref="G52:I52" si="15">G45+G33+G20</f>
        <v>2026930.4114405119</v>
      </c>
      <c r="H52" s="413">
        <f t="shared" si="15"/>
        <v>1795066.2556259686</v>
      </c>
      <c r="I52" s="413">
        <f t="shared" si="15"/>
        <v>1744444.4515101309</v>
      </c>
      <c r="K52" s="660">
        <f>I52/H52</f>
        <v>0.97179947873390049</v>
      </c>
      <c r="L52" s="658">
        <f>1-K52</f>
        <v>2.820052126609951E-2</v>
      </c>
      <c r="N52" s="631">
        <f t="shared" ref="N52:P53" si="16">(G52-F52)/F52</f>
        <v>-0.2965525076009542</v>
      </c>
      <c r="O52" s="631">
        <f t="shared" si="16"/>
        <v>-0.11439176920225923</v>
      </c>
      <c r="P52" s="631">
        <f t="shared" si="16"/>
        <v>-2.8200521266099468E-2</v>
      </c>
      <c r="Q52" s="438"/>
      <c r="R52" s="438"/>
      <c r="S52" s="438"/>
      <c r="T52" s="438"/>
      <c r="U52" s="438"/>
      <c r="V52" s="438"/>
    </row>
    <row r="53" spans="1:22" x14ac:dyDescent="0.3">
      <c r="A53" s="66"/>
      <c r="B53" s="66"/>
      <c r="C53" s="66" t="s">
        <v>138</v>
      </c>
      <c r="D53" s="66"/>
      <c r="E53" s="66"/>
      <c r="F53" s="176">
        <v>0.02</v>
      </c>
      <c r="G53" s="176">
        <v>0.02</v>
      </c>
      <c r="H53" s="176">
        <v>0.02</v>
      </c>
      <c r="I53" s="176">
        <v>0.02</v>
      </c>
      <c r="K53" s="660">
        <f t="shared" ref="K53:K55" si="17">I53/H53</f>
        <v>1</v>
      </c>
      <c r="L53" s="658">
        <f t="shared" ref="L53:L55" si="18">1-K53</f>
        <v>0</v>
      </c>
      <c r="N53" s="631">
        <f t="shared" si="16"/>
        <v>0</v>
      </c>
      <c r="O53" s="631">
        <f t="shared" si="16"/>
        <v>0</v>
      </c>
      <c r="P53" s="631">
        <f t="shared" si="16"/>
        <v>0</v>
      </c>
      <c r="Q53" s="438"/>
      <c r="R53" s="438"/>
      <c r="S53" s="438"/>
      <c r="T53" s="438"/>
      <c r="U53" s="438"/>
      <c r="V53" s="438"/>
    </row>
    <row r="54" spans="1:22" s="70" customFormat="1" x14ac:dyDescent="0.3">
      <c r="F54" s="99"/>
      <c r="G54" s="99"/>
      <c r="H54" s="99"/>
      <c r="I54" s="99"/>
      <c r="K54" s="660"/>
      <c r="L54" s="658"/>
      <c r="N54" s="631"/>
      <c r="O54" s="631"/>
      <c r="P54" s="631"/>
      <c r="Q54" s="438"/>
      <c r="R54" s="438"/>
      <c r="S54" s="438"/>
      <c r="T54" s="438"/>
      <c r="U54" s="438"/>
      <c r="V54" s="438"/>
    </row>
    <row r="55" spans="1:22" s="60" customFormat="1" x14ac:dyDescent="0.3">
      <c r="C55" s="102" t="s">
        <v>81</v>
      </c>
      <c r="D55" s="24"/>
      <c r="E55" s="24"/>
      <c r="F55" s="104">
        <f>F53*F52</f>
        <v>57628.477842115666</v>
      </c>
      <c r="G55" s="104">
        <f t="shared" ref="G55:I55" si="19">G53*G52</f>
        <v>40538.608228810241</v>
      </c>
      <c r="H55" s="104">
        <f t="shared" si="19"/>
        <v>35901.325112519371</v>
      </c>
      <c r="I55" s="104">
        <f t="shared" si="19"/>
        <v>34888.889030202619</v>
      </c>
      <c r="K55" s="660">
        <f t="shared" si="17"/>
        <v>0.9717994787339006</v>
      </c>
      <c r="L55" s="658">
        <f t="shared" si="18"/>
        <v>2.8200521266099399E-2</v>
      </c>
      <c r="N55" s="631">
        <f>(G55-F55)/F55</f>
        <v>-0.2965525076009542</v>
      </c>
      <c r="O55" s="631">
        <f>(H55-G55)/G55</f>
        <v>-0.11439176920225927</v>
      </c>
      <c r="P55" s="631">
        <f>(I55-H55)/H55</f>
        <v>-2.820052126609942E-2</v>
      </c>
    </row>
    <row r="56" spans="1:22" x14ac:dyDescent="0.3">
      <c r="A56" s="66"/>
      <c r="B56" s="66"/>
      <c r="C56" s="414" t="s">
        <v>186</v>
      </c>
      <c r="D56" s="67"/>
      <c r="E56" s="67"/>
      <c r="F56" s="49">
        <f>F55/$E$57</f>
        <v>4276.3151216304059</v>
      </c>
      <c r="G56" s="446">
        <f t="shared" ref="G56:I56" si="20">G55/$E$57</f>
        <v>3008.1631490190293</v>
      </c>
      <c r="H56" s="446">
        <f t="shared" si="20"/>
        <v>2664.0540443537034</v>
      </c>
      <c r="I56" s="446">
        <f t="shared" si="20"/>
        <v>2588.9263316218685</v>
      </c>
      <c r="K56" s="631"/>
      <c r="L56" s="631"/>
      <c r="M56" s="631"/>
    </row>
    <row r="57" spans="1:22" x14ac:dyDescent="0.3">
      <c r="A57" s="66"/>
      <c r="B57" s="66"/>
      <c r="C57" s="62" t="s">
        <v>187</v>
      </c>
      <c r="D57" s="67"/>
      <c r="E57" s="72">
        <f>F53*(E47+E35+E22)</f>
        <v>13.476199999999999</v>
      </c>
      <c r="F57" s="25" t="s">
        <v>153</v>
      </c>
      <c r="G57" s="49"/>
      <c r="H57" s="49"/>
      <c r="I57" s="49"/>
      <c r="K57" s="631"/>
      <c r="L57" s="631"/>
      <c r="M57" s="631"/>
    </row>
    <row r="60" spans="1:22" x14ac:dyDescent="0.3">
      <c r="A60" s="59"/>
      <c r="B60" s="59"/>
      <c r="C60" s="66"/>
      <c r="D60" s="66"/>
      <c r="E60" s="66"/>
      <c r="F60" s="66"/>
      <c r="G60" s="66"/>
      <c r="H60" s="66"/>
      <c r="I60" s="66"/>
    </row>
    <row r="61" spans="1:22" x14ac:dyDescent="0.3">
      <c r="A61" s="66"/>
      <c r="B61" s="66"/>
      <c r="C61" s="66"/>
      <c r="D61" s="66"/>
      <c r="E61" s="66"/>
      <c r="F61" s="81"/>
      <c r="G61" s="81"/>
      <c r="H61" s="81"/>
      <c r="I61" s="81"/>
    </row>
    <row r="62" spans="1:22" x14ac:dyDescent="0.3">
      <c r="A62" s="66"/>
      <c r="B62" s="66"/>
      <c r="C62" s="66"/>
      <c r="D62" s="66"/>
      <c r="E62" s="66"/>
      <c r="F62" s="180"/>
      <c r="G62" s="180"/>
      <c r="H62" s="180"/>
      <c r="I62" s="180"/>
      <c r="K62" s="65"/>
      <c r="L62" s="65"/>
      <c r="M62" s="65"/>
    </row>
    <row r="63" spans="1:22" x14ac:dyDescent="0.3">
      <c r="A63" s="66"/>
      <c r="B63" s="66"/>
      <c r="C63" s="66"/>
      <c r="D63" s="66"/>
      <c r="E63" s="66"/>
      <c r="F63" s="180"/>
      <c r="G63" s="180"/>
      <c r="H63" s="180"/>
      <c r="I63" s="180"/>
      <c r="K63" s="65"/>
      <c r="L63" s="65"/>
      <c r="M63" s="65"/>
    </row>
    <row r="64" spans="1:22" s="70" customFormat="1" x14ac:dyDescent="0.3">
      <c r="F64" s="180"/>
      <c r="G64" s="180"/>
      <c r="H64" s="180"/>
      <c r="I64" s="180"/>
      <c r="K64" s="65"/>
      <c r="L64" s="65"/>
      <c r="M64" s="65"/>
    </row>
    <row r="65" spans="1:13" x14ac:dyDescent="0.3">
      <c r="A65" s="66"/>
      <c r="B65" s="66"/>
      <c r="C65" s="67"/>
      <c r="D65" s="67"/>
      <c r="E65" s="67"/>
      <c r="F65" s="174"/>
      <c r="G65" s="174"/>
      <c r="H65" s="174"/>
      <c r="I65" s="174"/>
      <c r="K65" s="65"/>
      <c r="L65" s="65"/>
      <c r="M65" s="65"/>
    </row>
    <row r="66" spans="1:13" s="70" customFormat="1" x14ac:dyDescent="0.3">
      <c r="C66" s="67"/>
      <c r="D66" s="67"/>
      <c r="E66" s="67"/>
      <c r="F66" s="181"/>
      <c r="G66" s="181"/>
      <c r="H66" s="181"/>
      <c r="I66" s="181"/>
    </row>
    <row r="67" spans="1:13" s="60" customFormat="1" x14ac:dyDescent="0.3">
      <c r="C67" s="102"/>
      <c r="D67" s="24"/>
      <c r="E67" s="24"/>
      <c r="F67" s="100"/>
      <c r="G67" s="100"/>
      <c r="H67" s="100"/>
      <c r="I67" s="100"/>
    </row>
    <row r="68" spans="1:13" x14ac:dyDescent="0.3">
      <c r="A68" s="66"/>
      <c r="B68" s="66"/>
      <c r="C68" s="29"/>
      <c r="D68" s="67"/>
      <c r="E68" s="67"/>
      <c r="F68" s="294"/>
      <c r="G68" s="193"/>
      <c r="H68" s="193"/>
      <c r="I68" s="193"/>
    </row>
    <row r="69" spans="1:13" x14ac:dyDescent="0.3">
      <c r="A69" s="66"/>
      <c r="B69" s="66"/>
      <c r="C69" s="62"/>
      <c r="D69" s="67"/>
      <c r="E69" s="72"/>
      <c r="F69" s="25"/>
      <c r="G69" s="49"/>
      <c r="H69" s="49"/>
      <c r="I69" s="49"/>
    </row>
    <row r="71" spans="1:13" s="263" customFormat="1" x14ac:dyDescent="0.3">
      <c r="A71" s="183" t="s">
        <v>149</v>
      </c>
    </row>
    <row r="72" spans="1:13" s="263" customFormat="1" x14ac:dyDescent="0.3">
      <c r="A72" s="263" t="s">
        <v>28</v>
      </c>
      <c r="B72" s="263" t="s">
        <v>458</v>
      </c>
    </row>
    <row r="73" spans="1:13" s="619" customFormat="1" x14ac:dyDescent="0.3">
      <c r="A73" s="619" t="s">
        <v>29</v>
      </c>
      <c r="B73" s="619" t="s">
        <v>458</v>
      </c>
    </row>
    <row r="74" spans="1:13" s="304" customFormat="1" x14ac:dyDescent="0.3">
      <c r="A74" s="304" t="s">
        <v>30</v>
      </c>
      <c r="B74" s="619" t="s">
        <v>458</v>
      </c>
    </row>
    <row r="75" spans="1:13" s="263" customFormat="1" x14ac:dyDescent="0.3">
      <c r="A75" s="263" t="s">
        <v>31</v>
      </c>
      <c r="B75" s="263" t="s">
        <v>459</v>
      </c>
    </row>
    <row r="76" spans="1:13" s="263" customFormat="1" x14ac:dyDescent="0.3"/>
    <row r="77" spans="1:13" s="263" customFormat="1" x14ac:dyDescent="0.3">
      <c r="A77" s="183" t="s">
        <v>213</v>
      </c>
    </row>
    <row r="78" spans="1:13" s="263" customFormat="1" x14ac:dyDescent="0.3">
      <c r="A78" s="263" t="s">
        <v>28</v>
      </c>
      <c r="B78" s="263" t="s">
        <v>462</v>
      </c>
    </row>
    <row r="79" spans="1:13" s="263" customFormat="1" x14ac:dyDescent="0.3">
      <c r="A79" s="263" t="s">
        <v>29</v>
      </c>
      <c r="B79" s="625" t="s">
        <v>462</v>
      </c>
    </row>
    <row r="80" spans="1:13" s="263" customFormat="1" x14ac:dyDescent="0.3">
      <c r="A80" s="263" t="s">
        <v>30</v>
      </c>
      <c r="B80" s="625" t="s">
        <v>462</v>
      </c>
    </row>
    <row r="81" spans="1:2" s="263" customFormat="1" x14ac:dyDescent="0.3">
      <c r="A81" s="263" t="s">
        <v>31</v>
      </c>
      <c r="B81" s="263" t="s">
        <v>215</v>
      </c>
    </row>
    <row r="82" spans="1:2" s="263" customFormat="1" x14ac:dyDescent="0.3"/>
  </sheetData>
  <pageMargins left="0.7" right="0.7" top="0.75" bottom="0.75" header="0.3" footer="0.3"/>
  <pageSetup orientation="portrait" horizontalDpi="4294967293" verticalDpi="429496729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0"/>
  <sheetViews>
    <sheetView zoomScale="80" zoomScaleNormal="80" zoomScalePageLayoutView="125" workbookViewId="0">
      <selection activeCell="R48" sqref="R48"/>
    </sheetView>
  </sheetViews>
  <sheetFormatPr defaultColWidth="8.88671875" defaultRowHeight="14.4" x14ac:dyDescent="0.3"/>
  <cols>
    <col min="1" max="1" width="7.109375" style="625" customWidth="1"/>
    <col min="2" max="2" width="3.44140625" style="625" customWidth="1"/>
    <col min="3" max="3" width="7.109375" style="625" customWidth="1"/>
    <col min="4" max="4" width="40.6640625" style="625" bestFit="1" customWidth="1"/>
    <col min="5" max="5" width="16.33203125" style="625" bestFit="1" customWidth="1"/>
    <col min="6" max="6" width="17.88671875" style="625" customWidth="1"/>
    <col min="7" max="7" width="18.44140625" style="625" customWidth="1"/>
    <col min="8" max="8" width="17.33203125" style="625" bestFit="1" customWidth="1"/>
    <col min="9" max="9" width="17.109375" style="625" bestFit="1" customWidth="1"/>
    <col min="10" max="10" width="12" style="625" customWidth="1"/>
    <col min="11" max="11" width="11.88671875" style="625" customWidth="1"/>
    <col min="12" max="12" width="12.88671875" style="625" customWidth="1"/>
    <col min="13" max="13" width="12.44140625" style="625" customWidth="1"/>
    <col min="14" max="14" width="15.33203125" style="625" bestFit="1" customWidth="1"/>
    <col min="15" max="15" width="8.88671875" style="625" customWidth="1"/>
    <col min="16" max="16" width="9" style="625" customWidth="1"/>
    <col min="17" max="17" width="8.88671875" style="625"/>
    <col min="18" max="18" width="11.33203125" style="625" bestFit="1" customWidth="1"/>
    <col min="19" max="16384" width="8.88671875" style="625"/>
  </cols>
  <sheetData>
    <row r="1" spans="1:22" ht="15" x14ac:dyDescent="0.25">
      <c r="A1" s="611" t="s">
        <v>367</v>
      </c>
    </row>
    <row r="2" spans="1:22" ht="15" x14ac:dyDescent="0.25">
      <c r="A2" s="626"/>
      <c r="K2" s="395"/>
      <c r="L2" s="395"/>
      <c r="M2" s="395"/>
      <c r="N2" s="395"/>
      <c r="O2" s="395"/>
      <c r="P2" s="395"/>
    </row>
    <row r="3" spans="1:22" ht="15" x14ac:dyDescent="0.25">
      <c r="A3" s="611" t="s">
        <v>110</v>
      </c>
      <c r="E3" s="625">
        <v>1</v>
      </c>
      <c r="F3" s="625">
        <v>10</v>
      </c>
      <c r="G3" s="625">
        <v>50</v>
      </c>
      <c r="H3" s="625">
        <v>100</v>
      </c>
      <c r="I3" s="419" t="s">
        <v>111</v>
      </c>
      <c r="K3" s="471"/>
      <c r="L3" s="471"/>
      <c r="M3" s="713"/>
      <c r="N3" s="705"/>
      <c r="O3" s="705"/>
      <c r="P3" s="705"/>
      <c r="Q3" s="492"/>
      <c r="R3" s="491"/>
      <c r="S3" s="491"/>
    </row>
    <row r="4" spans="1:22" ht="15" x14ac:dyDescent="0.25">
      <c r="A4" s="77"/>
      <c r="B4" s="491" t="s">
        <v>28</v>
      </c>
      <c r="C4" s="491"/>
      <c r="D4" s="491" t="str">
        <f>B20</f>
        <v>Backward Bent Duct Main Structure</v>
      </c>
      <c r="E4" s="950">
        <f>E27*E3</f>
        <v>2839496.6457000002</v>
      </c>
      <c r="F4" s="950">
        <f>F27</f>
        <v>19964868.363000002</v>
      </c>
      <c r="G4" s="950">
        <f>G27</f>
        <v>88428368.655000001</v>
      </c>
      <c r="H4" s="950">
        <f>H27</f>
        <v>171816210.72</v>
      </c>
      <c r="I4" s="35">
        <f>D29</f>
        <v>664.101</v>
      </c>
      <c r="K4" s="714"/>
      <c r="L4" s="715"/>
      <c r="M4" s="714"/>
      <c r="N4" s="705"/>
      <c r="O4" s="705"/>
      <c r="P4" s="705"/>
      <c r="Q4" s="492"/>
      <c r="R4" s="491"/>
      <c r="S4" s="491"/>
    </row>
    <row r="5" spans="1:22" ht="15" x14ac:dyDescent="0.25">
      <c r="A5" s="77"/>
      <c r="B5" s="491" t="s">
        <v>29</v>
      </c>
      <c r="C5" s="491"/>
      <c r="D5" s="491" t="str">
        <f>B31</f>
        <v>Stern Float</v>
      </c>
      <c r="E5" s="950">
        <f>E38</f>
        <v>468766.36950000003</v>
      </c>
      <c r="F5" s="950">
        <f>F38</f>
        <v>3295957.0050000004</v>
      </c>
      <c r="G5" s="950">
        <f>G38</f>
        <v>14598448.425000001</v>
      </c>
      <c r="H5" s="950">
        <f>H38</f>
        <v>28364767.199999999</v>
      </c>
      <c r="I5" s="35">
        <f>D40</f>
        <v>109.63500000000001</v>
      </c>
      <c r="K5" s="716"/>
      <c r="L5" s="715"/>
      <c r="M5" s="714"/>
      <c r="N5" s="705"/>
      <c r="O5" s="705"/>
      <c r="P5" s="705"/>
      <c r="Q5" s="492"/>
      <c r="R5" s="491"/>
      <c r="S5" s="491"/>
    </row>
    <row r="6" spans="1:22" ht="15" x14ac:dyDescent="0.25">
      <c r="A6" s="77"/>
      <c r="B6" s="491" t="s">
        <v>30</v>
      </c>
      <c r="C6" s="491"/>
      <c r="D6" s="491" t="str">
        <f>B42</f>
        <v>Bow Float</v>
      </c>
      <c r="E6" s="950">
        <f>E49</f>
        <v>427890.67749999999</v>
      </c>
      <c r="F6" s="950">
        <f>F49</f>
        <v>3008554.7250000001</v>
      </c>
      <c r="G6" s="950">
        <f>G49</f>
        <v>13325486.625</v>
      </c>
      <c r="H6" s="950">
        <f>H49</f>
        <v>25891404</v>
      </c>
      <c r="I6" s="35">
        <f>D51</f>
        <v>100.075</v>
      </c>
      <c r="K6" s="715"/>
      <c r="L6" s="715"/>
      <c r="M6" s="715"/>
      <c r="N6" s="715"/>
      <c r="O6" s="705"/>
      <c r="P6" s="715"/>
      <c r="Q6" s="492"/>
      <c r="R6" s="491"/>
      <c r="S6" s="491"/>
    </row>
    <row r="7" spans="1:22" ht="15" x14ac:dyDescent="0.25">
      <c r="A7" s="77"/>
      <c r="B7" s="491" t="s">
        <v>31</v>
      </c>
      <c r="C7" s="491"/>
      <c r="D7" s="491" t="str">
        <f>B53</f>
        <v>Girders and Structural Supports</v>
      </c>
      <c r="E7" s="173">
        <f>E60</f>
        <v>3946328.401847546</v>
      </c>
      <c r="F7" s="173">
        <f>F60</f>
        <v>27747145.67082414</v>
      </c>
      <c r="G7" s="173">
        <f>G60</f>
        <v>122897621.0557359</v>
      </c>
      <c r="H7" s="173">
        <f>H60</f>
        <v>238789925.42180163</v>
      </c>
      <c r="I7" s="35">
        <f>D62</f>
        <v>922.96662578000007</v>
      </c>
      <c r="K7" s="714"/>
      <c r="L7" s="714"/>
      <c r="M7" s="714"/>
      <c r="N7" s="705"/>
      <c r="O7" s="705"/>
      <c r="P7" s="705"/>
      <c r="Q7" s="492"/>
      <c r="R7" s="491"/>
      <c r="S7" s="491"/>
    </row>
    <row r="8" spans="1:22" ht="15" x14ac:dyDescent="0.25">
      <c r="A8" s="77"/>
      <c r="B8" s="491"/>
      <c r="C8" s="491"/>
      <c r="D8" s="491"/>
      <c r="E8" s="950"/>
      <c r="F8" s="950"/>
      <c r="G8" s="950"/>
      <c r="H8" s="950"/>
      <c r="I8" s="491"/>
      <c r="K8" s="717"/>
      <c r="L8" s="713"/>
      <c r="M8" s="714"/>
      <c r="N8" s="705"/>
      <c r="O8" s="705"/>
      <c r="P8" s="705"/>
      <c r="Q8" s="492"/>
      <c r="R8" s="491"/>
      <c r="S8" s="491"/>
    </row>
    <row r="9" spans="1:22" ht="15" x14ac:dyDescent="0.25">
      <c r="A9" s="77"/>
      <c r="B9" s="491"/>
      <c r="C9" s="78" t="s">
        <v>81</v>
      </c>
      <c r="D9" s="78"/>
      <c r="E9" s="292">
        <f>SUM(E4:E7)</f>
        <v>7682482.0945475465</v>
      </c>
      <c r="F9" s="292">
        <f>SUM(F4:F7)</f>
        <v>54016525.763824143</v>
      </c>
      <c r="G9" s="292">
        <f>SUM(G4:G7)</f>
        <v>239249924.7607359</v>
      </c>
      <c r="H9" s="292">
        <f>SUM(H4:H7)</f>
        <v>464862307.34180164</v>
      </c>
      <c r="I9" s="287">
        <f>SUM(I4:I7)</f>
        <v>1796.7776257800001</v>
      </c>
      <c r="K9" s="788"/>
      <c r="L9" s="714"/>
      <c r="M9" s="714"/>
      <c r="N9" s="705"/>
      <c r="O9" s="705"/>
      <c r="P9" s="705"/>
      <c r="Q9" s="492"/>
      <c r="R9" s="492"/>
      <c r="S9" s="492"/>
      <c r="T9" s="490"/>
      <c r="U9" s="490"/>
      <c r="V9" s="490"/>
    </row>
    <row r="10" spans="1:22" ht="15" x14ac:dyDescent="0.25">
      <c r="A10" s="491"/>
      <c r="B10" s="77"/>
      <c r="C10" s="491"/>
      <c r="D10" s="491"/>
      <c r="E10" s="379">
        <f>(E9/($I$9*E3))</f>
        <v>4275.7</v>
      </c>
      <c r="F10" s="379">
        <f t="shared" ref="F10:G10" si="0">(F9/($I$9*F3))</f>
        <v>3006.3</v>
      </c>
      <c r="G10" s="379">
        <f t="shared" si="0"/>
        <v>2663.0999999999995</v>
      </c>
      <c r="H10" s="379">
        <f>(H9/($I$9*H3))</f>
        <v>2587.1999999999998</v>
      </c>
      <c r="I10" s="491"/>
      <c r="K10" s="705"/>
      <c r="L10" s="705"/>
      <c r="M10" s="705"/>
      <c r="N10" s="705"/>
      <c r="O10" s="705"/>
      <c r="P10" s="705"/>
      <c r="Q10" s="492"/>
      <c r="R10" s="492"/>
      <c r="S10" s="492"/>
      <c r="T10" s="490"/>
    </row>
    <row r="11" spans="1:22" ht="15" x14ac:dyDescent="0.25">
      <c r="A11" s="491"/>
      <c r="B11" s="491"/>
      <c r="C11" s="491"/>
      <c r="D11" s="491"/>
      <c r="E11" s="491"/>
      <c r="F11" s="812"/>
      <c r="G11" s="812"/>
      <c r="H11" s="491"/>
      <c r="I11" s="491"/>
      <c r="K11" s="705"/>
      <c r="L11" s="705"/>
      <c r="M11" s="705"/>
      <c r="N11" s="705"/>
      <c r="O11" s="705"/>
      <c r="P11" s="705"/>
      <c r="Q11" s="492"/>
      <c r="R11" s="492"/>
      <c r="S11" s="492"/>
      <c r="T11" s="490"/>
    </row>
    <row r="12" spans="1:22" ht="15" x14ac:dyDescent="0.25">
      <c r="K12" s="705"/>
      <c r="L12" s="705"/>
      <c r="M12" s="705"/>
      <c r="N12" s="705"/>
      <c r="O12" s="705"/>
      <c r="P12" s="705"/>
      <c r="Q12" s="492"/>
      <c r="R12" s="492"/>
      <c r="S12" s="492"/>
      <c r="T12" s="490"/>
    </row>
    <row r="13" spans="1:22" ht="15" x14ac:dyDescent="0.25">
      <c r="A13" s="611" t="s">
        <v>562</v>
      </c>
      <c r="K13" s="705"/>
      <c r="L13" s="705"/>
      <c r="M13" s="705"/>
      <c r="N13" s="705"/>
      <c r="O13" s="705"/>
      <c r="P13" s="705"/>
      <c r="Q13" s="492"/>
      <c r="R13" s="492"/>
      <c r="S13" s="492"/>
      <c r="T13" s="490"/>
    </row>
    <row r="14" spans="1:22" ht="15" x14ac:dyDescent="0.25">
      <c r="E14" s="768">
        <v>1</v>
      </c>
      <c r="F14" s="768">
        <v>10</v>
      </c>
      <c r="G14" s="768">
        <v>50</v>
      </c>
      <c r="H14" s="768">
        <v>100</v>
      </c>
      <c r="J14" s="724" t="s">
        <v>563</v>
      </c>
      <c r="K14" s="725"/>
      <c r="L14" s="725"/>
      <c r="M14" s="725"/>
      <c r="N14" s="726"/>
      <c r="O14" s="637"/>
      <c r="P14" s="637"/>
      <c r="Q14" s="490"/>
      <c r="R14" s="490"/>
      <c r="S14" s="490"/>
      <c r="T14" s="490"/>
    </row>
    <row r="15" spans="1:22" ht="15" x14ac:dyDescent="0.25">
      <c r="D15" s="625" t="s">
        <v>560</v>
      </c>
      <c r="E15" s="420">
        <v>2222</v>
      </c>
      <c r="F15" s="420">
        <v>1873</v>
      </c>
      <c r="G15" s="420">
        <v>1778</v>
      </c>
      <c r="H15" s="420">
        <v>1778</v>
      </c>
      <c r="J15" s="718" t="s">
        <v>28</v>
      </c>
      <c r="K15" s="702">
        <f t="shared" ref="K15:N18" si="1">F81/$E$88</f>
        <v>2143.3422562882934</v>
      </c>
      <c r="L15" s="702">
        <f t="shared" si="1"/>
        <v>1807.5526025168076</v>
      </c>
      <c r="M15" s="702">
        <f t="shared" si="1"/>
        <v>1714.6738050306349</v>
      </c>
      <c r="N15" s="719">
        <f t="shared" si="1"/>
        <v>1714.6738050306349</v>
      </c>
      <c r="O15" s="637"/>
      <c r="P15" s="637"/>
      <c r="Q15" s="490"/>
      <c r="R15" s="490"/>
      <c r="S15" s="490"/>
      <c r="T15" s="490"/>
    </row>
    <row r="16" spans="1:22" ht="15" x14ac:dyDescent="0.25">
      <c r="D16" s="625" t="s">
        <v>131</v>
      </c>
      <c r="E16" s="420">
        <v>1146</v>
      </c>
      <c r="F16" s="420">
        <v>808</v>
      </c>
      <c r="G16" s="420">
        <v>633</v>
      </c>
      <c r="H16" s="420">
        <v>569</v>
      </c>
      <c r="J16" s="718"/>
      <c r="K16" s="702">
        <f t="shared" si="1"/>
        <v>1263.1753228946507</v>
      </c>
      <c r="L16" s="702">
        <f t="shared" si="1"/>
        <v>890.14455448276021</v>
      </c>
      <c r="M16" s="702">
        <f t="shared" si="1"/>
        <v>696.97136653610266</v>
      </c>
      <c r="N16" s="719">
        <f t="shared" si="1"/>
        <v>627.27422988249236</v>
      </c>
      <c r="O16" s="637"/>
      <c r="P16" s="637"/>
      <c r="Q16" s="490"/>
      <c r="R16" s="490"/>
      <c r="S16" s="490"/>
      <c r="T16" s="490"/>
    </row>
    <row r="17" spans="1:25" ht="15" x14ac:dyDescent="0.25">
      <c r="D17" s="625" t="s">
        <v>154</v>
      </c>
      <c r="E17" s="420">
        <v>519</v>
      </c>
      <c r="F17" s="420">
        <v>52</v>
      </c>
      <c r="G17" s="420">
        <v>10</v>
      </c>
      <c r="H17" s="420">
        <v>5</v>
      </c>
      <c r="J17" s="718"/>
      <c r="K17" s="702">
        <f t="shared" si="1"/>
        <v>550.58179688020516</v>
      </c>
      <c r="L17" s="702">
        <f t="shared" si="1"/>
        <v>55.058179688020509</v>
      </c>
      <c r="M17" s="702">
        <f t="shared" si="1"/>
        <v>11.011635937604101</v>
      </c>
      <c r="N17" s="719">
        <f t="shared" si="1"/>
        <v>5.5058179688020505</v>
      </c>
      <c r="O17" s="637"/>
      <c r="P17" s="637"/>
      <c r="Q17" s="490"/>
      <c r="R17" s="702"/>
      <c r="S17" s="490"/>
      <c r="T17" s="490"/>
    </row>
    <row r="18" spans="1:25" ht="15" x14ac:dyDescent="0.25">
      <c r="D18" s="625" t="s">
        <v>561</v>
      </c>
      <c r="E18" s="420" t="s">
        <v>507</v>
      </c>
      <c r="F18" s="420" t="s">
        <v>507</v>
      </c>
      <c r="G18" s="420" t="s">
        <v>507</v>
      </c>
      <c r="H18" s="420" t="s">
        <v>507</v>
      </c>
      <c r="J18" s="718"/>
      <c r="K18" s="702">
        <f t="shared" si="1"/>
        <v>395.70993760631507</v>
      </c>
      <c r="L18" s="702">
        <f t="shared" si="1"/>
        <v>275.27553366875884</v>
      </c>
      <c r="M18" s="702">
        <f t="shared" si="1"/>
        <v>242.26568075043414</v>
      </c>
      <c r="N18" s="719">
        <f t="shared" si="1"/>
        <v>234.74538528819295</v>
      </c>
      <c r="O18" s="637"/>
      <c r="P18" s="637"/>
      <c r="Q18" s="490"/>
      <c r="R18" s="490"/>
      <c r="S18" s="490"/>
      <c r="T18" s="490"/>
    </row>
    <row r="19" spans="1:25" ht="15" x14ac:dyDescent="0.25">
      <c r="J19" s="718"/>
      <c r="K19" s="702"/>
      <c r="L19" s="702"/>
      <c r="M19" s="702"/>
      <c r="N19" s="719"/>
      <c r="O19" s="637"/>
      <c r="P19" s="637"/>
      <c r="Q19" s="490"/>
      <c r="R19" s="490"/>
      <c r="S19" s="490"/>
      <c r="T19" s="490"/>
    </row>
    <row r="20" spans="1:25" ht="15" x14ac:dyDescent="0.25">
      <c r="A20" s="611" t="s">
        <v>28</v>
      </c>
      <c r="B20" s="611" t="s">
        <v>558</v>
      </c>
      <c r="F20" s="65"/>
      <c r="G20" s="65"/>
      <c r="J20" s="718" t="s">
        <v>29</v>
      </c>
      <c r="K20" s="702">
        <f t="shared" ref="K20:N23" si="2">F94/$E$101</f>
        <v>2257.4680081449033</v>
      </c>
      <c r="L20" s="702">
        <f t="shared" si="2"/>
        <v>1903.7986869568358</v>
      </c>
      <c r="M20" s="702">
        <f t="shared" si="2"/>
        <v>1805.9744065159227</v>
      </c>
      <c r="N20" s="719">
        <f t="shared" si="2"/>
        <v>1805.9744065159227</v>
      </c>
      <c r="O20" s="637"/>
      <c r="P20" s="637"/>
      <c r="Q20" s="490"/>
      <c r="R20" s="490"/>
      <c r="S20" s="490"/>
      <c r="T20" s="490"/>
    </row>
    <row r="21" spans="1:25" ht="15" x14ac:dyDescent="0.25">
      <c r="E21" s="625">
        <v>1</v>
      </c>
      <c r="F21" s="625">
        <v>10</v>
      </c>
      <c r="G21" s="625">
        <v>50</v>
      </c>
      <c r="H21" s="625">
        <v>100</v>
      </c>
      <c r="J21" s="718"/>
      <c r="K21" s="702">
        <f t="shared" si="2"/>
        <v>1005.3420551798945</v>
      </c>
      <c r="L21" s="702">
        <f t="shared" si="2"/>
        <v>708.45253195745306</v>
      </c>
      <c r="M21" s="702">
        <f t="shared" si="2"/>
        <v>554.708925463534</v>
      </c>
      <c r="N21" s="719">
        <f t="shared" si="2"/>
        <v>499.23803291718053</v>
      </c>
      <c r="Q21" s="490"/>
      <c r="R21" s="490"/>
      <c r="S21" s="490"/>
      <c r="T21" s="490"/>
    </row>
    <row r="22" spans="1:25" ht="15" x14ac:dyDescent="0.25">
      <c r="C22" s="625" t="s">
        <v>130</v>
      </c>
      <c r="E22" s="65">
        <f>$E$21*E15*$D$29</f>
        <v>1475632.422</v>
      </c>
      <c r="F22" s="65">
        <f>$F$21*F15*$D$29</f>
        <v>12438611.73</v>
      </c>
      <c r="G22" s="65">
        <f>$G$21*G15*$D$29</f>
        <v>59038578.899999999</v>
      </c>
      <c r="H22" s="65">
        <f>$H$21*H15*$D$29</f>
        <v>118077157.8</v>
      </c>
      <c r="J22" s="718"/>
      <c r="K22" s="702">
        <f t="shared" si="2"/>
        <v>482.48383112550499</v>
      </c>
      <c r="L22" s="702">
        <f t="shared" si="2"/>
        <v>48.248383112550499</v>
      </c>
      <c r="M22" s="702">
        <f t="shared" si="2"/>
        <v>9.6496766225101016</v>
      </c>
      <c r="N22" s="719">
        <f t="shared" si="2"/>
        <v>4.8248383112550508</v>
      </c>
      <c r="Q22" s="490"/>
      <c r="R22" s="490"/>
      <c r="S22" s="490"/>
      <c r="T22" s="490"/>
    </row>
    <row r="23" spans="1:25" ht="15" x14ac:dyDescent="0.25">
      <c r="C23" s="625" t="s">
        <v>131</v>
      </c>
      <c r="E23" s="65">
        <f t="shared" ref="E23:E24" si="3">$E$21*E16*$D$29</f>
        <v>761059.74600000004</v>
      </c>
      <c r="F23" s="65">
        <f t="shared" ref="F23:F24" si="4">$F$21*F16*$D$29</f>
        <v>5365936.08</v>
      </c>
      <c r="G23" s="65">
        <f t="shared" ref="G23:G24" si="5">$G$21*G16*$D$29</f>
        <v>21018796.649999999</v>
      </c>
      <c r="H23" s="65">
        <f t="shared" ref="H23:H24" si="6">$H$21*H16*$D$29</f>
        <v>37787346.899999999</v>
      </c>
      <c r="J23" s="718"/>
      <c r="K23" s="702">
        <f t="shared" si="2"/>
        <v>374.52938944503023</v>
      </c>
      <c r="L23" s="702">
        <f t="shared" si="2"/>
        <v>266.04996020268391</v>
      </c>
      <c r="M23" s="702">
        <f t="shared" si="2"/>
        <v>237.03330086019665</v>
      </c>
      <c r="N23" s="719">
        <f t="shared" si="2"/>
        <v>231.00372777443584</v>
      </c>
      <c r="Q23" s="490"/>
      <c r="R23" s="490"/>
      <c r="S23" s="490"/>
      <c r="T23" s="490"/>
      <c r="U23" s="709"/>
      <c r="V23" s="710"/>
      <c r="W23" s="492"/>
      <c r="X23" s="711"/>
      <c r="Y23" s="711"/>
    </row>
    <row r="24" spans="1:25" ht="15" x14ac:dyDescent="0.25">
      <c r="C24" s="625" t="s">
        <v>154</v>
      </c>
      <c r="E24" s="65">
        <f t="shared" si="3"/>
        <v>344668.41899999999</v>
      </c>
      <c r="F24" s="65">
        <f t="shared" si="4"/>
        <v>345332.52</v>
      </c>
      <c r="G24" s="65">
        <f t="shared" si="5"/>
        <v>332050.5</v>
      </c>
      <c r="H24" s="65">
        <f t="shared" si="6"/>
        <v>332050.5</v>
      </c>
      <c r="J24" s="718"/>
      <c r="K24" s="490"/>
      <c r="L24" s="490"/>
      <c r="M24" s="490"/>
      <c r="N24" s="720"/>
      <c r="Q24" s="490"/>
      <c r="R24" s="490"/>
      <c r="S24" s="490"/>
      <c r="T24" s="490"/>
      <c r="U24" s="490"/>
      <c r="V24" s="490"/>
    </row>
    <row r="25" spans="1:25" ht="15" x14ac:dyDescent="0.25">
      <c r="C25" s="625" t="s">
        <v>112</v>
      </c>
      <c r="E25" s="65">
        <f>0.1*SUM(E22:E24)</f>
        <v>258136.05870000005</v>
      </c>
      <c r="F25" s="65">
        <f t="shared" ref="F25:H25" si="7">0.1*SUM(F22:F24)</f>
        <v>1814988.0330000003</v>
      </c>
      <c r="G25" s="65">
        <f t="shared" si="7"/>
        <v>8038942.6050000004</v>
      </c>
      <c r="H25" s="65">
        <f t="shared" si="7"/>
        <v>15619655.52</v>
      </c>
      <c r="J25" s="718" t="s">
        <v>30</v>
      </c>
      <c r="K25" s="702">
        <f t="shared" ref="K25:N28" si="8">F106/$E$113</f>
        <v>2265.0713712354641</v>
      </c>
      <c r="L25" s="702">
        <f t="shared" si="8"/>
        <v>1910.2108587422338</v>
      </c>
      <c r="M25" s="702">
        <f t="shared" si="8"/>
        <v>1812.0570969883713</v>
      </c>
      <c r="N25" s="719">
        <f t="shared" si="8"/>
        <v>1812.0570969883713</v>
      </c>
      <c r="Q25" s="490"/>
      <c r="R25" s="490"/>
    </row>
    <row r="26" spans="1:25" ht="15" x14ac:dyDescent="0.25">
      <c r="E26" s="65"/>
      <c r="F26" s="65"/>
      <c r="G26" s="65"/>
      <c r="H26" s="65"/>
      <c r="J26" s="718"/>
      <c r="K26" s="702">
        <f t="shared" si="8"/>
        <v>1170.3715131460065</v>
      </c>
      <c r="L26" s="702">
        <f t="shared" si="8"/>
        <v>824.74681880367223</v>
      </c>
      <c r="M26" s="702">
        <f t="shared" si="8"/>
        <v>645.76580787141336</v>
      </c>
      <c r="N26" s="719">
        <f t="shared" si="8"/>
        <v>581.18922708427192</v>
      </c>
    </row>
    <row r="27" spans="1:25" ht="15" x14ac:dyDescent="0.25">
      <c r="C27" s="298" t="s">
        <v>559</v>
      </c>
      <c r="D27" s="298"/>
      <c r="E27" s="596">
        <f>SUM(E22:E25)</f>
        <v>2839496.6457000002</v>
      </c>
      <c r="F27" s="596">
        <f t="shared" ref="F27:H27" si="9">SUM(F22:F25)</f>
        <v>19964868.363000002</v>
      </c>
      <c r="G27" s="596">
        <f t="shared" si="9"/>
        <v>88428368.655000001</v>
      </c>
      <c r="H27" s="596">
        <f t="shared" si="9"/>
        <v>171816210.72</v>
      </c>
      <c r="J27" s="721"/>
      <c r="K27" s="702">
        <f t="shared" si="8"/>
        <v>523.74578548913303</v>
      </c>
      <c r="L27" s="702">
        <f t="shared" si="8"/>
        <v>52.374578548913298</v>
      </c>
      <c r="M27" s="702">
        <f t="shared" si="8"/>
        <v>10.474915709782662</v>
      </c>
      <c r="N27" s="719">
        <f t="shared" si="8"/>
        <v>5.2374578548913311</v>
      </c>
    </row>
    <row r="28" spans="1:25" ht="15" x14ac:dyDescent="0.25">
      <c r="C28" s="625" t="s">
        <v>186</v>
      </c>
      <c r="E28" s="65">
        <f>E27/$D$29</f>
        <v>4275.7000000000007</v>
      </c>
      <c r="F28" s="65">
        <f>F27/$D$29</f>
        <v>30063.000000000004</v>
      </c>
      <c r="G28" s="65">
        <f>G27/$D$29</f>
        <v>133155</v>
      </c>
      <c r="H28" s="65">
        <f>H27/$D$29</f>
        <v>258720</v>
      </c>
      <c r="J28" s="722"/>
      <c r="K28" s="596">
        <f t="shared" si="8"/>
        <v>395.91886698706037</v>
      </c>
      <c r="L28" s="596">
        <f t="shared" si="8"/>
        <v>278.73322560948191</v>
      </c>
      <c r="M28" s="596">
        <f t="shared" si="8"/>
        <v>246.82978205695676</v>
      </c>
      <c r="N28" s="723">
        <f t="shared" si="8"/>
        <v>239.84837819275347</v>
      </c>
    </row>
    <row r="29" spans="1:25" ht="15" x14ac:dyDescent="0.25">
      <c r="C29" s="625" t="s">
        <v>113</v>
      </c>
      <c r="D29" s="324">
        <v>664.101</v>
      </c>
      <c r="E29" s="65" t="s">
        <v>153</v>
      </c>
      <c r="G29" s="65"/>
    </row>
    <row r="31" spans="1:25" x14ac:dyDescent="0.3">
      <c r="A31" s="611" t="s">
        <v>29</v>
      </c>
      <c r="B31" s="611" t="s">
        <v>516</v>
      </c>
      <c r="E31" s="324"/>
      <c r="F31" s="65"/>
    </row>
    <row r="32" spans="1:25" x14ac:dyDescent="0.3">
      <c r="E32" s="768">
        <v>1</v>
      </c>
      <c r="F32" s="768">
        <v>10</v>
      </c>
      <c r="G32" s="768">
        <v>50</v>
      </c>
      <c r="H32" s="768">
        <v>100</v>
      </c>
    </row>
    <row r="33" spans="1:22" x14ac:dyDescent="0.3">
      <c r="C33" s="625" t="s">
        <v>130</v>
      </c>
      <c r="E33" s="65">
        <f>$E$32*E15*$D$40</f>
        <v>243608.97</v>
      </c>
      <c r="F33" s="65">
        <f>$F$32*F15*$D$40</f>
        <v>2053463.55</v>
      </c>
      <c r="G33" s="65">
        <f>$G$32*G15*$D$40</f>
        <v>9746551.5</v>
      </c>
      <c r="H33" s="65">
        <f>$H$32*H15*$D$40</f>
        <v>19493103</v>
      </c>
    </row>
    <row r="34" spans="1:22" x14ac:dyDescent="0.3">
      <c r="C34" s="625" t="s">
        <v>131</v>
      </c>
      <c r="E34" s="65">
        <f t="shared" ref="E34:E35" si="10">$E$32*E16*$D$40</f>
        <v>125641.71</v>
      </c>
      <c r="F34" s="65">
        <f t="shared" ref="F34:F35" si="11">$F$32*F16*$D$40</f>
        <v>885850.8</v>
      </c>
      <c r="G34" s="65">
        <f t="shared" ref="G34:G35" si="12">$G$32*G16*$D$40</f>
        <v>3469947.75</v>
      </c>
      <c r="H34" s="65">
        <f t="shared" ref="H34:H35" si="13">$H$32*H16*$D$40</f>
        <v>6238231.5</v>
      </c>
    </row>
    <row r="35" spans="1:22" x14ac:dyDescent="0.3">
      <c r="C35" s="625" t="s">
        <v>154</v>
      </c>
      <c r="E35" s="65">
        <f t="shared" si="10"/>
        <v>56900.565000000002</v>
      </c>
      <c r="F35" s="65">
        <f t="shared" si="11"/>
        <v>57010.200000000004</v>
      </c>
      <c r="G35" s="65">
        <f t="shared" si="12"/>
        <v>54817.5</v>
      </c>
      <c r="H35" s="65">
        <f t="shared" si="13"/>
        <v>54817.5</v>
      </c>
    </row>
    <row r="36" spans="1:22" x14ac:dyDescent="0.3">
      <c r="C36" s="625" t="s">
        <v>112</v>
      </c>
      <c r="E36" s="65">
        <f>0.1*SUM(E33:E35)</f>
        <v>42615.124500000005</v>
      </c>
      <c r="F36" s="65">
        <f t="shared" ref="F36" si="14">0.1*SUM(F33:F35)</f>
        <v>299632.45500000002</v>
      </c>
      <c r="G36" s="65">
        <f t="shared" ref="G36" si="15">0.1*SUM(G33:G35)</f>
        <v>1327131.675</v>
      </c>
      <c r="H36" s="65">
        <f t="shared" ref="H36" si="16">0.1*SUM(H33:H35)</f>
        <v>2578615.2000000002</v>
      </c>
    </row>
    <row r="37" spans="1:22" x14ac:dyDescent="0.3">
      <c r="E37" s="65"/>
      <c r="F37" s="65"/>
      <c r="G37" s="65"/>
      <c r="H37" s="65"/>
    </row>
    <row r="38" spans="1:22" x14ac:dyDescent="0.3">
      <c r="C38" s="298" t="s">
        <v>559</v>
      </c>
      <c r="D38" s="298"/>
      <c r="E38" s="596">
        <f>SUM(E33:E36)</f>
        <v>468766.36950000003</v>
      </c>
      <c r="F38" s="596">
        <f t="shared" ref="F38:H38" si="17">SUM(F33:F36)</f>
        <v>3295957.0050000004</v>
      </c>
      <c r="G38" s="596">
        <f t="shared" si="17"/>
        <v>14598448.425000001</v>
      </c>
      <c r="H38" s="596">
        <f t="shared" si="17"/>
        <v>28364767.199999999</v>
      </c>
    </row>
    <row r="39" spans="1:22" x14ac:dyDescent="0.3">
      <c r="C39" s="625" t="s">
        <v>186</v>
      </c>
      <c r="E39" s="65">
        <f>E38/$D$40</f>
        <v>4275.7</v>
      </c>
      <c r="F39" s="65">
        <f t="shared" ref="F39:H39" si="18">F38/$D$40</f>
        <v>30063.000000000004</v>
      </c>
      <c r="G39" s="65">
        <f t="shared" si="18"/>
        <v>133155</v>
      </c>
      <c r="H39" s="65">
        <f t="shared" si="18"/>
        <v>258719.99999999997</v>
      </c>
    </row>
    <row r="40" spans="1:22" x14ac:dyDescent="0.3">
      <c r="C40" s="625" t="s">
        <v>113</v>
      </c>
      <c r="D40" s="324">
        <v>109.63500000000001</v>
      </c>
      <c r="E40" s="65" t="s">
        <v>153</v>
      </c>
      <c r="G40" s="65"/>
    </row>
    <row r="41" spans="1:22" x14ac:dyDescent="0.3">
      <c r="E41" s="324"/>
      <c r="F41" s="65"/>
      <c r="G41" s="65"/>
      <c r="K41" s="637"/>
      <c r="L41" s="637"/>
      <c r="M41" s="637"/>
      <c r="N41" s="637"/>
      <c r="O41" s="637"/>
      <c r="P41" s="637"/>
      <c r="Q41" s="490"/>
      <c r="R41" s="490"/>
      <c r="S41" s="490"/>
      <c r="T41" s="490"/>
      <c r="U41" s="490"/>
      <c r="V41" s="490"/>
    </row>
    <row r="42" spans="1:22" s="490" customFormat="1" x14ac:dyDescent="0.3">
      <c r="A42" s="611" t="s">
        <v>30</v>
      </c>
      <c r="B42" s="611" t="s">
        <v>517</v>
      </c>
      <c r="D42" s="625"/>
      <c r="J42" s="446"/>
      <c r="K42" s="638"/>
      <c r="L42" s="703"/>
      <c r="M42" s="704"/>
      <c r="N42" s="705"/>
      <c r="O42" s="705"/>
      <c r="P42" s="705"/>
    </row>
    <row r="43" spans="1:22" x14ac:dyDescent="0.3">
      <c r="E43" s="768">
        <v>1</v>
      </c>
      <c r="F43" s="768">
        <v>10</v>
      </c>
      <c r="G43" s="768">
        <v>50</v>
      </c>
      <c r="H43" s="768">
        <v>100</v>
      </c>
      <c r="K43" s="706"/>
      <c r="L43" s="707"/>
      <c r="M43" s="492"/>
      <c r="N43" s="708"/>
      <c r="O43" s="219"/>
      <c r="P43" s="219"/>
      <c r="Q43" s="490"/>
      <c r="R43" s="490"/>
      <c r="S43" s="490"/>
      <c r="T43" s="490"/>
      <c r="U43" s="490"/>
      <c r="V43" s="490"/>
    </row>
    <row r="44" spans="1:22" x14ac:dyDescent="0.3">
      <c r="C44" s="625" t="s">
        <v>130</v>
      </c>
      <c r="E44" s="65">
        <f>$E$43*E15*$D$51</f>
        <v>222366.65</v>
      </c>
      <c r="F44" s="65">
        <f>$F$43*F15*$D$51</f>
        <v>1874404.75</v>
      </c>
      <c r="G44" s="65">
        <f>$G$43*G15*$D$51</f>
        <v>8896667.5</v>
      </c>
      <c r="H44" s="65">
        <f>$H$43*H15*$D$51</f>
        <v>17793335</v>
      </c>
      <c r="J44" s="474"/>
      <c r="K44" s="709"/>
      <c r="L44" s="710"/>
      <c r="M44" s="492"/>
      <c r="N44" s="711"/>
      <c r="O44" s="711"/>
      <c r="P44" s="711"/>
      <c r="Q44" s="490"/>
      <c r="R44" s="490"/>
      <c r="S44" s="490"/>
      <c r="T44" s="490"/>
      <c r="U44" s="490"/>
      <c r="V44" s="490"/>
    </row>
    <row r="45" spans="1:22" x14ac:dyDescent="0.3">
      <c r="C45" s="625" t="s">
        <v>131</v>
      </c>
      <c r="E45" s="65">
        <f t="shared" ref="E45:E46" si="19">$E$43*E16*$D$51</f>
        <v>114685.95</v>
      </c>
      <c r="F45" s="65">
        <f t="shared" ref="F45:F46" si="20">$F$43*F16*$D$51</f>
        <v>808606</v>
      </c>
      <c r="G45" s="65">
        <f t="shared" ref="G45:G46" si="21">$G$43*G16*$D$51</f>
        <v>3167373.75</v>
      </c>
      <c r="H45" s="65">
        <f t="shared" ref="H45:H46" si="22">$H$43*H16*$D$51</f>
        <v>5694267.5</v>
      </c>
      <c r="J45" s="474"/>
      <c r="P45" s="711"/>
      <c r="Q45" s="490"/>
      <c r="R45" s="490"/>
      <c r="S45" s="490"/>
      <c r="T45" s="490"/>
      <c r="U45" s="490"/>
      <c r="V45" s="490"/>
    </row>
    <row r="46" spans="1:22" x14ac:dyDescent="0.3">
      <c r="C46" s="625" t="s">
        <v>154</v>
      </c>
      <c r="E46" s="65">
        <f t="shared" si="19"/>
        <v>51938.925000000003</v>
      </c>
      <c r="F46" s="65">
        <f t="shared" si="20"/>
        <v>52039</v>
      </c>
      <c r="G46" s="65">
        <f t="shared" si="21"/>
        <v>50037.5</v>
      </c>
      <c r="H46" s="65">
        <f t="shared" si="22"/>
        <v>50037.5</v>
      </c>
      <c r="J46" s="474"/>
      <c r="P46" s="711"/>
      <c r="Q46" s="435"/>
      <c r="R46" s="435"/>
      <c r="S46" s="435"/>
      <c r="T46" s="435"/>
      <c r="U46" s="490"/>
      <c r="V46" s="490"/>
    </row>
    <row r="47" spans="1:22" x14ac:dyDescent="0.3">
      <c r="C47" s="625" t="s">
        <v>112</v>
      </c>
      <c r="E47" s="65">
        <f>0.1*SUM(E44:E46)</f>
        <v>38899.152499999997</v>
      </c>
      <c r="F47" s="65">
        <f t="shared" ref="F47:H47" si="23">0.1*SUM(F44:F46)</f>
        <v>273504.97500000003</v>
      </c>
      <c r="G47" s="65">
        <f t="shared" si="23"/>
        <v>1211407.875</v>
      </c>
      <c r="H47" s="65">
        <f t="shared" si="23"/>
        <v>2353764</v>
      </c>
      <c r="J47" s="474"/>
      <c r="P47" s="711"/>
      <c r="Q47" s="490"/>
      <c r="R47" s="490"/>
      <c r="S47" s="490"/>
      <c r="T47" s="490"/>
      <c r="U47" s="490"/>
      <c r="V47" s="490"/>
    </row>
    <row r="48" spans="1:22" x14ac:dyDescent="0.3">
      <c r="E48" s="65"/>
      <c r="F48" s="65"/>
      <c r="G48" s="65"/>
      <c r="H48" s="65"/>
      <c r="J48" s="474"/>
      <c r="P48" s="711"/>
      <c r="Q48" s="490"/>
      <c r="R48" s="490"/>
      <c r="S48" s="490"/>
      <c r="T48" s="490"/>
      <c r="U48" s="490"/>
      <c r="V48" s="490"/>
    </row>
    <row r="49" spans="1:25" s="626" customFormat="1" x14ac:dyDescent="0.3">
      <c r="C49" s="298" t="s">
        <v>559</v>
      </c>
      <c r="D49" s="298"/>
      <c r="E49" s="596">
        <f>SUM(E44:E47)</f>
        <v>427890.67749999999</v>
      </c>
      <c r="F49" s="596">
        <f t="shared" ref="F49:H49" si="24">SUM(F44:F47)</f>
        <v>3008554.7250000001</v>
      </c>
      <c r="G49" s="596">
        <f t="shared" si="24"/>
        <v>13325486.625</v>
      </c>
      <c r="H49" s="596">
        <f t="shared" si="24"/>
        <v>25891404</v>
      </c>
      <c r="J49" s="101"/>
      <c r="P49" s="711"/>
      <c r="Q49" s="493"/>
      <c r="R49" s="493"/>
      <c r="S49" s="493"/>
      <c r="T49" s="493"/>
      <c r="U49" s="493"/>
      <c r="V49" s="493"/>
    </row>
    <row r="50" spans="1:25" x14ac:dyDescent="0.3">
      <c r="C50" s="625" t="s">
        <v>186</v>
      </c>
      <c r="E50" s="65">
        <f>E49/$D$51</f>
        <v>4275.7</v>
      </c>
      <c r="F50" s="65">
        <f t="shared" ref="F50:H50" si="25">F49/$D$51</f>
        <v>30063</v>
      </c>
      <c r="G50" s="65">
        <f t="shared" si="25"/>
        <v>133155</v>
      </c>
      <c r="H50" s="65">
        <f t="shared" si="25"/>
        <v>258720</v>
      </c>
      <c r="J50" s="474"/>
      <c r="P50" s="492"/>
      <c r="Q50" s="490"/>
      <c r="R50" s="490"/>
      <c r="S50" s="490"/>
      <c r="T50" s="490"/>
      <c r="U50" s="490"/>
      <c r="V50" s="490"/>
    </row>
    <row r="51" spans="1:25" x14ac:dyDescent="0.3">
      <c r="C51" s="625" t="s">
        <v>113</v>
      </c>
      <c r="D51" s="324">
        <v>100.075</v>
      </c>
      <c r="E51" s="65" t="s">
        <v>153</v>
      </c>
      <c r="G51" s="65"/>
      <c r="J51" s="474"/>
      <c r="P51" s="492"/>
      <c r="Q51" s="490"/>
      <c r="R51" s="490"/>
      <c r="S51" s="490"/>
      <c r="T51" s="490"/>
      <c r="U51" s="490"/>
      <c r="V51" s="490"/>
    </row>
    <row r="52" spans="1:25" x14ac:dyDescent="0.3">
      <c r="P52" s="492"/>
      <c r="Q52" s="490"/>
      <c r="R52" s="490"/>
      <c r="S52" s="490"/>
      <c r="T52" s="490"/>
      <c r="U52" s="490"/>
      <c r="V52" s="490"/>
    </row>
    <row r="53" spans="1:25" x14ac:dyDescent="0.3">
      <c r="A53" s="611" t="s">
        <v>31</v>
      </c>
      <c r="B53" s="611" t="s">
        <v>518</v>
      </c>
    </row>
    <row r="54" spans="1:25" x14ac:dyDescent="0.3">
      <c r="E54" s="768">
        <v>1</v>
      </c>
      <c r="F54" s="768">
        <v>10</v>
      </c>
      <c r="G54" s="768">
        <v>50</v>
      </c>
      <c r="H54" s="768">
        <v>100</v>
      </c>
      <c r="J54" s="31" t="s">
        <v>536</v>
      </c>
      <c r="K54" s="31"/>
      <c r="L54" s="31"/>
      <c r="M54" s="31"/>
      <c r="N54" s="611"/>
      <c r="P54" s="490"/>
      <c r="Q54" s="490" t="s">
        <v>539</v>
      </c>
    </row>
    <row r="55" spans="1:25" x14ac:dyDescent="0.3">
      <c r="C55" s="625" t="s">
        <v>130</v>
      </c>
      <c r="E55" s="65">
        <f>$E$54*E15*$D$62</f>
        <v>2050831.8424831601</v>
      </c>
      <c r="F55" s="65">
        <f>$F$54*F15*$D$62</f>
        <v>17287164.900859401</v>
      </c>
      <c r="G55" s="65">
        <f>$G$54*G15*$D$62</f>
        <v>82051733.031842008</v>
      </c>
      <c r="H55" s="65">
        <f>$H$54*H15*$D$62</f>
        <v>164103466.06368402</v>
      </c>
      <c r="J55" s="31" t="s">
        <v>530</v>
      </c>
      <c r="K55" s="31" t="s">
        <v>531</v>
      </c>
      <c r="L55" s="31" t="s">
        <v>534</v>
      </c>
      <c r="M55" s="471" t="s">
        <v>535</v>
      </c>
      <c r="N55" s="471" t="s">
        <v>552</v>
      </c>
      <c r="O55" s="471" t="s">
        <v>537</v>
      </c>
      <c r="Q55" s="490"/>
      <c r="R55" s="31" t="s">
        <v>530</v>
      </c>
      <c r="S55" s="31" t="s">
        <v>531</v>
      </c>
      <c r="T55" s="31" t="s">
        <v>534</v>
      </c>
      <c r="U55" s="471" t="s">
        <v>535</v>
      </c>
      <c r="V55" s="471" t="s">
        <v>552</v>
      </c>
      <c r="W55" s="471" t="s">
        <v>537</v>
      </c>
    </row>
    <row r="56" spans="1:25" x14ac:dyDescent="0.3">
      <c r="C56" s="625" t="s">
        <v>131</v>
      </c>
      <c r="E56" s="65">
        <f t="shared" ref="E56:E57" si="26">$E$54*E16*$D$62</f>
        <v>1057719.7531438801</v>
      </c>
      <c r="F56" s="65">
        <f t="shared" ref="F56:F57" si="27">$F$54*F16*$D$62</f>
        <v>7457570.3363024006</v>
      </c>
      <c r="G56" s="65">
        <f t="shared" ref="G56:G57" si="28">$G$54*G16*$D$62</f>
        <v>29211893.705937002</v>
      </c>
      <c r="H56" s="65">
        <f t="shared" ref="H56:H57" si="29">$H$54*H16*$D$62</f>
        <v>52516801.006882004</v>
      </c>
      <c r="J56" s="490" t="s">
        <v>520</v>
      </c>
      <c r="K56" s="490">
        <v>7</v>
      </c>
      <c r="L56" s="448">
        <v>1453.51322</v>
      </c>
      <c r="M56" s="490">
        <v>76</v>
      </c>
      <c r="N56" s="625">
        <f>K56*M56</f>
        <v>532</v>
      </c>
      <c r="O56" s="448">
        <f t="shared" ref="O56:O66" si="30">M56*L56</f>
        <v>110467.00472</v>
      </c>
      <c r="Q56" s="490"/>
      <c r="R56" s="490" t="s">
        <v>540</v>
      </c>
      <c r="S56" s="625">
        <v>1.97</v>
      </c>
      <c r="T56" s="625">
        <v>71.096410000000006</v>
      </c>
      <c r="U56" s="625">
        <v>2800</v>
      </c>
      <c r="V56" s="625">
        <f>U56*S56</f>
        <v>5516</v>
      </c>
      <c r="W56" s="625">
        <f t="shared" ref="W56:W65" si="31">U56*T56</f>
        <v>199069.948</v>
      </c>
    </row>
    <row r="57" spans="1:25" ht="15.75" customHeight="1" x14ac:dyDescent="0.3">
      <c r="C57" s="625" t="s">
        <v>154</v>
      </c>
      <c r="E57" s="65">
        <f t="shared" si="26"/>
        <v>479019.67877982004</v>
      </c>
      <c r="F57" s="65">
        <f t="shared" si="27"/>
        <v>479942.64540560002</v>
      </c>
      <c r="G57" s="65">
        <f t="shared" si="28"/>
        <v>461483.31289000006</v>
      </c>
      <c r="H57" s="65">
        <f t="shared" si="29"/>
        <v>461483.31289000006</v>
      </c>
      <c r="J57" s="490" t="s">
        <v>521</v>
      </c>
      <c r="K57" s="490">
        <v>1</v>
      </c>
      <c r="L57" s="25">
        <v>207.64</v>
      </c>
      <c r="M57" s="490">
        <v>19</v>
      </c>
      <c r="N57" s="625">
        <f t="shared" ref="N57:N66" si="32">K57*M57</f>
        <v>19</v>
      </c>
      <c r="O57" s="448">
        <f t="shared" si="30"/>
        <v>3945.16</v>
      </c>
      <c r="Q57" s="490"/>
      <c r="R57" s="492" t="s">
        <v>541</v>
      </c>
      <c r="S57" s="625">
        <v>2.2200000000000002</v>
      </c>
      <c r="T57" s="625">
        <v>80.025760000000005</v>
      </c>
      <c r="U57" s="625">
        <v>1332</v>
      </c>
      <c r="V57" s="625">
        <f t="shared" ref="V57:V64" si="33">U57*S57</f>
        <v>2957.0400000000004</v>
      </c>
      <c r="W57" s="625">
        <f t="shared" si="31"/>
        <v>106594.31232000001</v>
      </c>
    </row>
    <row r="58" spans="1:25" ht="15.75" customHeight="1" x14ac:dyDescent="0.3">
      <c r="C58" s="625" t="s">
        <v>112</v>
      </c>
      <c r="E58" s="65">
        <f>0.1*SUM(E55:E57)</f>
        <v>358757.12744068605</v>
      </c>
      <c r="F58" s="65">
        <f t="shared" ref="F58" si="34">0.1*SUM(F55:F57)</f>
        <v>2522467.7882567402</v>
      </c>
      <c r="G58" s="65">
        <f t="shared" ref="G58" si="35">0.1*SUM(G55:G57)</f>
        <v>11172511.005066901</v>
      </c>
      <c r="H58" s="65">
        <f t="shared" ref="H58" si="36">0.1*SUM(H55:H57)</f>
        <v>21708175.038345605</v>
      </c>
      <c r="J58" s="492" t="s">
        <v>522</v>
      </c>
      <c r="K58" s="490">
        <v>8.5</v>
      </c>
      <c r="L58" s="25">
        <v>1764.98</v>
      </c>
      <c r="M58" s="490">
        <v>49</v>
      </c>
      <c r="N58" s="625">
        <f t="shared" si="32"/>
        <v>416.5</v>
      </c>
      <c r="O58" s="448">
        <f t="shared" si="30"/>
        <v>86484.02</v>
      </c>
      <c r="Q58" s="490"/>
      <c r="R58" s="492" t="s">
        <v>542</v>
      </c>
      <c r="S58" s="625">
        <v>2.2000000000000002</v>
      </c>
      <c r="T58" s="625">
        <v>79.38</v>
      </c>
      <c r="U58" s="625">
        <v>13</v>
      </c>
      <c r="V58" s="625">
        <f t="shared" si="33"/>
        <v>28.6</v>
      </c>
      <c r="W58" s="625">
        <f t="shared" si="31"/>
        <v>1031.94</v>
      </c>
    </row>
    <row r="59" spans="1:25" x14ac:dyDescent="0.3">
      <c r="E59" s="65"/>
      <c r="F59" s="65"/>
      <c r="G59" s="65"/>
      <c r="H59" s="65"/>
      <c r="J59" s="492" t="s">
        <v>523</v>
      </c>
      <c r="K59" s="492">
        <v>5.45</v>
      </c>
      <c r="L59" s="25">
        <v>1131.6600000000001</v>
      </c>
      <c r="M59" s="492">
        <v>10</v>
      </c>
      <c r="N59" s="625">
        <f t="shared" si="32"/>
        <v>54.5</v>
      </c>
      <c r="O59" s="448">
        <f t="shared" si="30"/>
        <v>11316.6</v>
      </c>
      <c r="Q59" s="490"/>
      <c r="R59" s="492" t="s">
        <v>543</v>
      </c>
      <c r="S59" s="625">
        <v>1.73</v>
      </c>
      <c r="T59" s="625">
        <v>62.35</v>
      </c>
      <c r="U59" s="625">
        <v>33</v>
      </c>
      <c r="V59" s="625">
        <f t="shared" si="33"/>
        <v>57.089999999999996</v>
      </c>
      <c r="W59" s="625">
        <f t="shared" si="31"/>
        <v>2057.5500000000002</v>
      </c>
    </row>
    <row r="60" spans="1:25" x14ac:dyDescent="0.3">
      <c r="C60" s="298" t="s">
        <v>559</v>
      </c>
      <c r="D60" s="298"/>
      <c r="E60" s="596">
        <f>SUM(E55:E58)</f>
        <v>3946328.401847546</v>
      </c>
      <c r="F60" s="596">
        <f t="shared" ref="F60:H60" si="37">SUM(F55:F58)</f>
        <v>27747145.67082414</v>
      </c>
      <c r="G60" s="596">
        <f t="shared" si="37"/>
        <v>122897621.0557359</v>
      </c>
      <c r="H60" s="596">
        <f t="shared" si="37"/>
        <v>238789925.42180163</v>
      </c>
      <c r="J60" s="490" t="s">
        <v>524</v>
      </c>
      <c r="K60" s="492">
        <v>3.5</v>
      </c>
      <c r="L60" s="83">
        <v>726.76</v>
      </c>
      <c r="M60" s="492">
        <v>13</v>
      </c>
      <c r="N60" s="625">
        <f t="shared" si="32"/>
        <v>45.5</v>
      </c>
      <c r="O60" s="448">
        <f t="shared" si="30"/>
        <v>9447.8799999999992</v>
      </c>
      <c r="Q60" s="490"/>
      <c r="R60" s="490" t="s">
        <v>544</v>
      </c>
      <c r="S60" s="625">
        <v>1.47</v>
      </c>
      <c r="T60" s="625">
        <v>53.09</v>
      </c>
      <c r="U60" s="625">
        <v>37</v>
      </c>
      <c r="V60" s="625">
        <f t="shared" si="33"/>
        <v>54.39</v>
      </c>
      <c r="W60" s="625">
        <f t="shared" si="31"/>
        <v>1964.3300000000002</v>
      </c>
    </row>
    <row r="61" spans="1:25" s="626" customFormat="1" x14ac:dyDescent="0.3">
      <c r="A61" s="625"/>
      <c r="C61" s="625" t="s">
        <v>186</v>
      </c>
      <c r="D61" s="625"/>
      <c r="E61" s="65">
        <f>E60/$D$62</f>
        <v>4275.7</v>
      </c>
      <c r="F61" s="65">
        <f t="shared" ref="F61:H61" si="38">F60/$D$62</f>
        <v>30062.999999999996</v>
      </c>
      <c r="G61" s="65">
        <f t="shared" si="38"/>
        <v>133155</v>
      </c>
      <c r="H61" s="65">
        <f t="shared" si="38"/>
        <v>258720</v>
      </c>
      <c r="I61" s="625"/>
      <c r="J61" s="490" t="s">
        <v>525</v>
      </c>
      <c r="K61" s="492">
        <v>5.12</v>
      </c>
      <c r="L61" s="83">
        <v>1063.6600000000001</v>
      </c>
      <c r="M61" s="492">
        <v>26</v>
      </c>
      <c r="N61" s="625">
        <f t="shared" si="32"/>
        <v>133.12</v>
      </c>
      <c r="O61" s="448">
        <f t="shared" si="30"/>
        <v>27655.160000000003</v>
      </c>
      <c r="P61" s="625"/>
      <c r="Q61" s="490"/>
      <c r="R61" s="492" t="s">
        <v>545</v>
      </c>
      <c r="S61" s="625">
        <v>3.8</v>
      </c>
      <c r="T61" s="625">
        <v>136.70558</v>
      </c>
      <c r="U61" s="625">
        <v>37</v>
      </c>
      <c r="V61" s="625">
        <f t="shared" si="33"/>
        <v>140.6</v>
      </c>
      <c r="W61" s="625">
        <f t="shared" si="31"/>
        <v>5058.10646</v>
      </c>
      <c r="X61" s="625"/>
      <c r="Y61" s="625"/>
    </row>
    <row r="62" spans="1:25" x14ac:dyDescent="0.3">
      <c r="C62" s="625" t="s">
        <v>113</v>
      </c>
      <c r="D62" s="324">
        <f>E68</f>
        <v>922.96662578000007</v>
      </c>
      <c r="E62" s="65" t="s">
        <v>153</v>
      </c>
      <c r="G62" s="65"/>
      <c r="J62" s="492" t="s">
        <v>526</v>
      </c>
      <c r="K62" s="492">
        <v>7.5</v>
      </c>
      <c r="L62" s="83">
        <v>1557.34</v>
      </c>
      <c r="M62" s="492">
        <v>26</v>
      </c>
      <c r="N62" s="625">
        <f t="shared" si="32"/>
        <v>195</v>
      </c>
      <c r="O62" s="448">
        <f t="shared" si="30"/>
        <v>40490.839999999997</v>
      </c>
      <c r="Q62" s="490"/>
      <c r="R62" s="492" t="s">
        <v>546</v>
      </c>
      <c r="S62" s="625">
        <v>0.5</v>
      </c>
      <c r="T62" s="625">
        <v>18</v>
      </c>
      <c r="U62" s="625">
        <v>84</v>
      </c>
      <c r="V62" s="625">
        <f t="shared" si="33"/>
        <v>42</v>
      </c>
      <c r="W62" s="625">
        <f t="shared" si="31"/>
        <v>1512</v>
      </c>
    </row>
    <row r="63" spans="1:25" x14ac:dyDescent="0.3">
      <c r="G63" s="65"/>
      <c r="J63" s="492" t="s">
        <v>527</v>
      </c>
      <c r="K63" s="492">
        <v>6.75</v>
      </c>
      <c r="L63" s="83">
        <v>1401.60204</v>
      </c>
      <c r="M63" s="492">
        <v>136</v>
      </c>
      <c r="N63" s="625">
        <f t="shared" si="32"/>
        <v>918</v>
      </c>
      <c r="O63" s="448">
        <f t="shared" si="30"/>
        <v>190617.87744000001</v>
      </c>
      <c r="Q63" s="490"/>
      <c r="R63" s="492" t="s">
        <v>547</v>
      </c>
      <c r="S63" s="625">
        <v>0.97</v>
      </c>
      <c r="T63" s="625">
        <v>35.1</v>
      </c>
      <c r="U63" s="625">
        <v>43</v>
      </c>
      <c r="V63" s="625">
        <f t="shared" si="33"/>
        <v>41.71</v>
      </c>
      <c r="W63" s="625">
        <f t="shared" si="31"/>
        <v>1509.3</v>
      </c>
    </row>
    <row r="64" spans="1:25" x14ac:dyDescent="0.3">
      <c r="B64" s="611" t="s">
        <v>519</v>
      </c>
      <c r="D64" s="625" t="s">
        <v>553</v>
      </c>
      <c r="E64" s="324">
        <f>O67/1000</f>
        <v>583.97072578000007</v>
      </c>
      <c r="F64" s="65" t="s">
        <v>153</v>
      </c>
      <c r="G64" s="65"/>
      <c r="J64" s="490" t="s">
        <v>532</v>
      </c>
      <c r="K64" s="492">
        <v>22.95</v>
      </c>
      <c r="L64" s="83">
        <v>4581.7699400000001</v>
      </c>
      <c r="M64" s="492">
        <v>11</v>
      </c>
      <c r="N64" s="625">
        <f t="shared" si="32"/>
        <v>252.45</v>
      </c>
      <c r="O64" s="448">
        <f t="shared" si="30"/>
        <v>50399.469340000003</v>
      </c>
      <c r="Q64" s="490"/>
      <c r="R64" s="490" t="s">
        <v>548</v>
      </c>
      <c r="S64" s="625">
        <v>2.2400000000000002</v>
      </c>
      <c r="T64" s="625">
        <v>80.510000000000005</v>
      </c>
      <c r="U64" s="625">
        <v>37</v>
      </c>
      <c r="V64" s="625">
        <f t="shared" si="33"/>
        <v>82.88000000000001</v>
      </c>
      <c r="W64" s="625">
        <f t="shared" si="31"/>
        <v>2978.8700000000003</v>
      </c>
    </row>
    <row r="65" spans="1:24" x14ac:dyDescent="0.3">
      <c r="B65" s="611" t="s">
        <v>538</v>
      </c>
      <c r="D65" s="625" t="s">
        <v>554</v>
      </c>
      <c r="E65" s="324">
        <v>320.536</v>
      </c>
      <c r="F65" s="625" t="s">
        <v>153</v>
      </c>
      <c r="G65" s="65"/>
      <c r="J65" s="490" t="s">
        <v>528</v>
      </c>
      <c r="K65" s="492">
        <v>8.48</v>
      </c>
      <c r="L65" s="83">
        <v>1761.6787899999999</v>
      </c>
      <c r="M65" s="492">
        <v>11</v>
      </c>
      <c r="N65" s="625">
        <f t="shared" si="32"/>
        <v>93.28</v>
      </c>
      <c r="O65" s="448">
        <f t="shared" si="30"/>
        <v>19378.466690000001</v>
      </c>
      <c r="Q65" s="490"/>
      <c r="R65" s="492" t="s">
        <v>549</v>
      </c>
      <c r="S65" s="625" t="s">
        <v>507</v>
      </c>
      <c r="T65" s="625">
        <v>1085.87852</v>
      </c>
      <c r="U65" s="625">
        <v>17</v>
      </c>
      <c r="W65" s="625">
        <f t="shared" si="31"/>
        <v>18459.934839999998</v>
      </c>
    </row>
    <row r="66" spans="1:24" x14ac:dyDescent="0.3">
      <c r="B66" s="611" t="s">
        <v>555</v>
      </c>
      <c r="D66" s="625" t="s">
        <v>556</v>
      </c>
      <c r="E66" s="324">
        <v>18.459900000000001</v>
      </c>
      <c r="F66" s="625" t="s">
        <v>153</v>
      </c>
      <c r="G66" s="65"/>
      <c r="J66" s="492" t="s">
        <v>529</v>
      </c>
      <c r="K66" s="492">
        <v>14.78</v>
      </c>
      <c r="L66" s="83">
        <v>3069.84069</v>
      </c>
      <c r="M66" s="492">
        <v>11</v>
      </c>
      <c r="N66" s="625">
        <f t="shared" si="32"/>
        <v>162.57999999999998</v>
      </c>
      <c r="O66" s="448">
        <f t="shared" si="30"/>
        <v>33768.247589999999</v>
      </c>
      <c r="Q66" s="490"/>
      <c r="R66" s="492" t="s">
        <v>550</v>
      </c>
      <c r="S66" s="625" t="s">
        <v>507</v>
      </c>
      <c r="U66" s="625">
        <v>4</v>
      </c>
      <c r="W66" s="625">
        <v>-1239.92</v>
      </c>
      <c r="X66" s="625" t="s">
        <v>551</v>
      </c>
    </row>
    <row r="67" spans="1:24" x14ac:dyDescent="0.3">
      <c r="G67" s="65"/>
      <c r="J67" s="471" t="s">
        <v>99</v>
      </c>
      <c r="K67" s="611"/>
      <c r="L67" s="611"/>
      <c r="M67" s="611"/>
      <c r="N67" s="592">
        <f>SUM(N56:N66)</f>
        <v>2821.93</v>
      </c>
      <c r="O67" s="592">
        <f>SUM(O56:O66)</f>
        <v>583970.7257800001</v>
      </c>
      <c r="Q67" s="490"/>
      <c r="R67" s="471" t="s">
        <v>99</v>
      </c>
      <c r="S67" s="611"/>
      <c r="T67" s="611"/>
      <c r="U67" s="611"/>
      <c r="V67" s="611">
        <f>SUM(V56:V64)</f>
        <v>8920.31</v>
      </c>
      <c r="W67" s="592">
        <f>SUM(W56:W66)</f>
        <v>338996.37161999999</v>
      </c>
    </row>
    <row r="68" spans="1:24" x14ac:dyDescent="0.3">
      <c r="D68" s="625" t="s">
        <v>557</v>
      </c>
      <c r="E68" s="324">
        <f>SUM(E64:E66)</f>
        <v>922.96662578000007</v>
      </c>
      <c r="F68" s="625" t="s">
        <v>153</v>
      </c>
      <c r="G68" s="65"/>
      <c r="J68" s="490"/>
      <c r="K68" s="490"/>
      <c r="L68" s="490"/>
      <c r="M68" s="490"/>
      <c r="P68" s="490"/>
      <c r="Q68" s="490"/>
      <c r="U68" s="448"/>
    </row>
    <row r="69" spans="1:24" x14ac:dyDescent="0.3">
      <c r="J69" s="492" t="s">
        <v>533</v>
      </c>
      <c r="K69" s="490"/>
      <c r="L69" s="490"/>
      <c r="M69" s="490"/>
      <c r="P69" s="490"/>
      <c r="Q69" s="490"/>
      <c r="R69" s="490"/>
      <c r="S69" s="490"/>
      <c r="T69" s="490"/>
      <c r="U69" s="490"/>
    </row>
    <row r="70" spans="1:24" s="768" customFormat="1" x14ac:dyDescent="0.3">
      <c r="A70" s="611" t="s">
        <v>797</v>
      </c>
      <c r="J70" s="492"/>
      <c r="K70" s="490"/>
      <c r="L70" s="490"/>
      <c r="M70" s="490"/>
      <c r="P70" s="490"/>
      <c r="Q70" s="490"/>
      <c r="R70" s="490"/>
      <c r="S70" s="490"/>
      <c r="T70" s="490"/>
      <c r="U70" s="490"/>
    </row>
    <row r="71" spans="1:24" s="768" customFormat="1" x14ac:dyDescent="0.3">
      <c r="A71" s="768" t="s">
        <v>28</v>
      </c>
      <c r="B71" s="768" t="s">
        <v>796</v>
      </c>
      <c r="J71" s="492"/>
      <c r="K71" s="490"/>
      <c r="L71" s="490"/>
      <c r="M71" s="490"/>
      <c r="P71" s="490"/>
      <c r="Q71" s="490"/>
      <c r="R71" s="490"/>
      <c r="S71" s="490"/>
      <c r="T71" s="490"/>
      <c r="U71" s="490"/>
    </row>
    <row r="72" spans="1:24" s="768" customFormat="1" x14ac:dyDescent="0.3">
      <c r="A72" s="768" t="s">
        <v>29</v>
      </c>
      <c r="B72" s="768" t="s">
        <v>796</v>
      </c>
      <c r="J72" s="492"/>
      <c r="K72" s="490"/>
      <c r="L72" s="490"/>
      <c r="M72" s="490"/>
      <c r="P72" s="490"/>
      <c r="Q72" s="490"/>
      <c r="R72" s="490"/>
      <c r="S72" s="490"/>
      <c r="T72" s="490"/>
      <c r="U72" s="490"/>
    </row>
    <row r="73" spans="1:24" s="768" customFormat="1" x14ac:dyDescent="0.3">
      <c r="A73" s="768" t="s">
        <v>30</v>
      </c>
      <c r="B73" s="768" t="s">
        <v>796</v>
      </c>
      <c r="J73" s="492"/>
      <c r="K73" s="490"/>
      <c r="L73" s="490"/>
      <c r="M73" s="490"/>
      <c r="P73" s="490"/>
      <c r="Q73" s="490"/>
      <c r="R73" s="490"/>
      <c r="S73" s="490"/>
      <c r="T73" s="490"/>
      <c r="U73" s="490"/>
    </row>
    <row r="74" spans="1:24" s="768" customFormat="1" x14ac:dyDescent="0.3">
      <c r="A74" s="768" t="s">
        <v>31</v>
      </c>
      <c r="B74" s="768" t="s">
        <v>796</v>
      </c>
      <c r="J74" s="492"/>
      <c r="K74" s="490"/>
      <c r="L74" s="490"/>
      <c r="M74" s="490"/>
      <c r="P74" s="490"/>
      <c r="Q74" s="490"/>
      <c r="R74" s="490"/>
      <c r="S74" s="490"/>
      <c r="T74" s="490"/>
      <c r="U74" s="490"/>
    </row>
    <row r="75" spans="1:24" s="768" customFormat="1" x14ac:dyDescent="0.3">
      <c r="J75" s="492"/>
      <c r="K75" s="490"/>
      <c r="L75" s="490"/>
      <c r="M75" s="490"/>
      <c r="P75" s="490"/>
      <c r="Q75" s="490"/>
      <c r="R75" s="490"/>
      <c r="S75" s="490"/>
      <c r="T75" s="490"/>
      <c r="U75" s="490"/>
    </row>
    <row r="76" spans="1:24" s="768" customFormat="1" x14ac:dyDescent="0.3">
      <c r="J76" s="492"/>
      <c r="K76" s="490"/>
      <c r="L76" s="490"/>
      <c r="M76" s="490"/>
      <c r="P76" s="490"/>
      <c r="Q76" s="490"/>
      <c r="R76" s="490"/>
      <c r="S76" s="490"/>
      <c r="T76" s="490"/>
      <c r="U76" s="490"/>
    </row>
    <row r="77" spans="1:24" s="768" customFormat="1" x14ac:dyDescent="0.3">
      <c r="J77" s="492"/>
      <c r="K77" s="490"/>
      <c r="L77" s="490"/>
      <c r="M77" s="490"/>
      <c r="P77" s="490"/>
      <c r="Q77" s="490"/>
      <c r="R77" s="490"/>
      <c r="S77" s="490"/>
      <c r="T77" s="490"/>
      <c r="U77" s="490"/>
    </row>
    <row r="79" spans="1:24" x14ac:dyDescent="0.3">
      <c r="A79" s="664" t="s">
        <v>28</v>
      </c>
      <c r="B79" s="664" t="s">
        <v>251</v>
      </c>
      <c r="C79" s="665"/>
      <c r="D79" s="665"/>
      <c r="E79" s="665"/>
      <c r="F79" s="665"/>
      <c r="G79" s="665"/>
      <c r="H79" s="665"/>
      <c r="I79" s="665"/>
      <c r="K79" s="709"/>
      <c r="L79" s="710"/>
      <c r="M79" s="492"/>
      <c r="N79" s="711"/>
      <c r="O79" s="711"/>
      <c r="P79" s="711"/>
      <c r="Q79" s="490"/>
      <c r="R79" s="490"/>
    </row>
    <row r="80" spans="1:24" x14ac:dyDescent="0.3">
      <c r="A80" s="662"/>
      <c r="B80" s="662"/>
      <c r="C80" s="662"/>
      <c r="D80" s="662"/>
      <c r="E80" s="662"/>
      <c r="F80" s="666" t="s">
        <v>85</v>
      </c>
      <c r="G80" s="666" t="s">
        <v>107</v>
      </c>
      <c r="H80" s="666" t="s">
        <v>109</v>
      </c>
      <c r="I80" s="666" t="s">
        <v>108</v>
      </c>
      <c r="K80" s="492"/>
      <c r="L80" s="492"/>
      <c r="M80" s="492"/>
      <c r="N80" s="711"/>
      <c r="O80" s="711"/>
      <c r="P80" s="711"/>
      <c r="Q80" s="490"/>
      <c r="R80" s="490"/>
    </row>
    <row r="81" spans="1:22" s="626" customFormat="1" x14ac:dyDescent="0.3">
      <c r="A81" s="662"/>
      <c r="B81" s="662"/>
      <c r="C81" s="662" t="s">
        <v>130</v>
      </c>
      <c r="D81" s="662"/>
      <c r="E81" s="667">
        <f>I81/$E$88</f>
        <v>1714.6738050306349</v>
      </c>
      <c r="F81" s="668">
        <v>440328.23313186696</v>
      </c>
      <c r="G81" s="669">
        <v>371343.60666105297</v>
      </c>
      <c r="H81" s="669">
        <v>352262.58650549361</v>
      </c>
      <c r="I81" s="669">
        <v>352262.58650549361</v>
      </c>
      <c r="K81" s="414"/>
      <c r="L81" s="414"/>
      <c r="M81" s="414"/>
      <c r="N81" s="711"/>
      <c r="O81" s="711"/>
      <c r="P81" s="711"/>
      <c r="Q81" s="493"/>
      <c r="R81" s="493"/>
    </row>
    <row r="82" spans="1:22" x14ac:dyDescent="0.3">
      <c r="A82" s="662"/>
      <c r="B82" s="662"/>
      <c r="C82" s="662" t="s">
        <v>131</v>
      </c>
      <c r="D82" s="662"/>
      <c r="E82" s="667">
        <f>F82/$E$88</f>
        <v>1263.1753228946507</v>
      </c>
      <c r="F82" s="668">
        <v>259506.73833547701</v>
      </c>
      <c r="G82" s="669">
        <v>182871.29727293825</v>
      </c>
      <c r="H82" s="669">
        <v>143185.79754117693</v>
      </c>
      <c r="I82" s="669">
        <v>128867.21778705923</v>
      </c>
      <c r="K82" s="492"/>
      <c r="L82" s="492"/>
      <c r="M82" s="492"/>
      <c r="N82" s="492"/>
      <c r="O82" s="492"/>
      <c r="P82" s="492"/>
      <c r="Q82" s="490"/>
      <c r="R82" s="490"/>
    </row>
    <row r="83" spans="1:22" x14ac:dyDescent="0.3">
      <c r="A83" s="662"/>
      <c r="B83" s="662"/>
      <c r="C83" s="662" t="s">
        <v>154</v>
      </c>
      <c r="D83" s="662"/>
      <c r="E83" s="667">
        <f>F83/$E$88</f>
        <v>550.58179688020516</v>
      </c>
      <c r="F83" s="668">
        <v>113111.52435106934</v>
      </c>
      <c r="G83" s="668">
        <v>11311.152435106933</v>
      </c>
      <c r="H83" s="668">
        <v>2262.2304870213866</v>
      </c>
      <c r="I83" s="668">
        <v>1131.1152435106933</v>
      </c>
      <c r="K83" s="492"/>
      <c r="L83" s="492"/>
      <c r="M83" s="492"/>
      <c r="N83" s="492"/>
      <c r="O83" s="492"/>
      <c r="P83" s="492"/>
      <c r="Q83" s="490"/>
      <c r="R83" s="490"/>
    </row>
    <row r="84" spans="1:22" x14ac:dyDescent="0.3">
      <c r="A84" s="662"/>
      <c r="B84" s="662"/>
      <c r="C84" s="665" t="s">
        <v>112</v>
      </c>
      <c r="D84" s="665"/>
      <c r="E84" s="667">
        <f>F84/$E$88</f>
        <v>395.70993760631507</v>
      </c>
      <c r="F84" s="668">
        <v>81294.649581841368</v>
      </c>
      <c r="G84" s="668">
        <v>56552.605636909815</v>
      </c>
      <c r="H84" s="668">
        <v>49771.061453369191</v>
      </c>
      <c r="I84" s="668">
        <v>48226.091953606359</v>
      </c>
      <c r="K84" s="492"/>
      <c r="L84" s="492"/>
      <c r="M84" s="492"/>
      <c r="N84" s="492"/>
      <c r="O84" s="492"/>
      <c r="P84" s="492"/>
      <c r="Q84" s="490"/>
      <c r="R84" s="490"/>
    </row>
    <row r="85" spans="1:22" x14ac:dyDescent="0.3">
      <c r="A85" s="662"/>
      <c r="B85" s="662"/>
      <c r="C85" s="665"/>
      <c r="D85" s="665"/>
      <c r="E85" s="665"/>
      <c r="F85" s="662"/>
      <c r="G85" s="662"/>
      <c r="H85" s="662"/>
      <c r="I85" s="662"/>
      <c r="J85" s="419"/>
      <c r="K85" s="492"/>
      <c r="L85" s="492"/>
      <c r="M85" s="492"/>
      <c r="N85" s="492"/>
      <c r="O85" s="492"/>
      <c r="P85" s="492"/>
      <c r="Q85" s="490"/>
      <c r="R85" s="490"/>
    </row>
    <row r="86" spans="1:22" x14ac:dyDescent="0.3">
      <c r="A86" s="670"/>
      <c r="B86" s="670"/>
      <c r="C86" s="671" t="s">
        <v>81</v>
      </c>
      <c r="D86" s="671"/>
      <c r="E86" s="671"/>
      <c r="F86" s="672">
        <f>SUM(F81:F84)</f>
        <v>894241.14540025475</v>
      </c>
      <c r="G86" s="672">
        <f>SUM(G81:G84)</f>
        <v>622078.66200600797</v>
      </c>
      <c r="H86" s="672">
        <f>SUM(H81:H84)</f>
        <v>547481.67598706111</v>
      </c>
      <c r="I86" s="672">
        <f>SUM(I81:I84)</f>
        <v>530487.01148966991</v>
      </c>
      <c r="J86" s="474"/>
      <c r="K86" s="492"/>
      <c r="L86" s="492"/>
      <c r="M86" s="492"/>
      <c r="N86" s="492"/>
      <c r="O86" s="492"/>
      <c r="P86" s="492"/>
      <c r="Q86" s="490"/>
      <c r="R86" s="490"/>
    </row>
    <row r="87" spans="1:22" x14ac:dyDescent="0.3">
      <c r="A87" s="662"/>
      <c r="B87" s="662"/>
      <c r="C87" s="673" t="s">
        <v>186</v>
      </c>
      <c r="D87" s="665"/>
      <c r="E87" s="665"/>
      <c r="F87" s="674">
        <f>F86/$E$88</f>
        <v>4352.8093136694642</v>
      </c>
      <c r="G87" s="674">
        <f>G86/$E$88</f>
        <v>3028.0308703563474</v>
      </c>
      <c r="H87" s="674">
        <f>H86/$E$88</f>
        <v>2664.9224882547755</v>
      </c>
      <c r="I87" s="674">
        <f>I86/$E$88</f>
        <v>2582.199238170122</v>
      </c>
      <c r="K87" s="492"/>
      <c r="L87" s="492"/>
      <c r="M87" s="492"/>
      <c r="N87" s="712"/>
      <c r="O87" s="367"/>
      <c r="P87" s="367"/>
      <c r="Q87" s="490"/>
      <c r="R87" s="490"/>
    </row>
    <row r="88" spans="1:22" x14ac:dyDescent="0.3">
      <c r="A88" s="662"/>
      <c r="B88" s="662"/>
      <c r="C88" s="665" t="s">
        <v>113</v>
      </c>
      <c r="D88" s="665"/>
      <c r="E88" s="674">
        <v>205.44</v>
      </c>
      <c r="F88" s="675" t="s">
        <v>153</v>
      </c>
      <c r="G88" s="676"/>
      <c r="H88" s="676"/>
      <c r="I88" s="676"/>
      <c r="K88" s="709"/>
      <c r="L88" s="710"/>
      <c r="M88" s="492"/>
      <c r="N88" s="711"/>
      <c r="O88" s="711"/>
      <c r="P88" s="711"/>
      <c r="Q88" s="490"/>
      <c r="R88" s="490"/>
    </row>
    <row r="89" spans="1:22" x14ac:dyDescent="0.3">
      <c r="A89" s="662"/>
      <c r="B89" s="662"/>
      <c r="C89" s="665"/>
      <c r="D89" s="662"/>
      <c r="E89" s="662"/>
      <c r="F89" s="701">
        <f>F82/F81</f>
        <v>0.58934839696677233</v>
      </c>
      <c r="G89" s="701">
        <f t="shared" ref="G89:I89" si="39">G82/G81</f>
        <v>0.4924584508596524</v>
      </c>
      <c r="H89" s="701">
        <f t="shared" si="39"/>
        <v>0.4064746102094039</v>
      </c>
      <c r="I89" s="701">
        <f t="shared" si="39"/>
        <v>0.36582714918846349</v>
      </c>
      <c r="K89" s="709"/>
      <c r="L89" s="710"/>
      <c r="M89" s="492"/>
      <c r="N89" s="711"/>
      <c r="O89" s="711"/>
      <c r="P89" s="711"/>
      <c r="Q89" s="490"/>
      <c r="R89" s="490"/>
      <c r="S89" s="490"/>
      <c r="T89" s="490"/>
      <c r="U89" s="490"/>
      <c r="V89" s="490"/>
    </row>
    <row r="90" spans="1:22" x14ac:dyDescent="0.3">
      <c r="A90" s="662"/>
      <c r="B90" s="662"/>
      <c r="C90" s="665"/>
      <c r="D90" s="662"/>
      <c r="E90" s="662"/>
      <c r="F90" s="662"/>
      <c r="G90" s="662"/>
      <c r="H90" s="662"/>
      <c r="I90" s="662"/>
      <c r="K90" s="709"/>
      <c r="L90" s="710"/>
      <c r="M90" s="492"/>
      <c r="N90" s="711"/>
      <c r="O90" s="711"/>
      <c r="P90" s="711"/>
      <c r="Q90" s="490"/>
      <c r="R90" s="490"/>
      <c r="S90" s="490"/>
      <c r="T90" s="490"/>
      <c r="U90" s="490"/>
      <c r="V90" s="490"/>
    </row>
    <row r="91" spans="1:22" s="626" customFormat="1" x14ac:dyDescent="0.3">
      <c r="A91" s="662"/>
      <c r="B91" s="662"/>
      <c r="C91" s="662"/>
      <c r="D91" s="662"/>
      <c r="E91" s="662"/>
      <c r="F91" s="662"/>
      <c r="G91" s="662"/>
      <c r="H91" s="662"/>
      <c r="I91" s="662"/>
      <c r="K91" s="709"/>
      <c r="L91" s="710"/>
      <c r="M91" s="414"/>
      <c r="N91" s="711"/>
      <c r="O91" s="711"/>
      <c r="P91" s="711"/>
    </row>
    <row r="92" spans="1:22" x14ac:dyDescent="0.3">
      <c r="A92" s="677" t="s">
        <v>29</v>
      </c>
      <c r="B92" s="664" t="s">
        <v>252</v>
      </c>
      <c r="C92" s="662"/>
      <c r="D92" s="662"/>
      <c r="E92" s="662"/>
      <c r="F92" s="662"/>
      <c r="G92" s="662"/>
      <c r="H92" s="662"/>
      <c r="I92" s="662"/>
      <c r="K92" s="711"/>
      <c r="L92" s="711"/>
      <c r="M92" s="711"/>
      <c r="N92" s="492"/>
      <c r="O92" s="492"/>
      <c r="P92" s="492"/>
    </row>
    <row r="93" spans="1:22" x14ac:dyDescent="0.3">
      <c r="A93" s="662"/>
      <c r="B93" s="662"/>
      <c r="C93" s="662"/>
      <c r="D93" s="662"/>
      <c r="E93" s="662"/>
      <c r="F93" s="666" t="s">
        <v>85</v>
      </c>
      <c r="G93" s="666" t="s">
        <v>107</v>
      </c>
      <c r="H93" s="666" t="s">
        <v>109</v>
      </c>
      <c r="I93" s="666" t="s">
        <v>108</v>
      </c>
      <c r="K93" s="711"/>
      <c r="L93" s="711"/>
      <c r="M93" s="711"/>
      <c r="N93" s="492"/>
      <c r="O93" s="492"/>
      <c r="P93" s="492"/>
    </row>
    <row r="94" spans="1:22" x14ac:dyDescent="0.3">
      <c r="A94" s="662"/>
      <c r="B94" s="662"/>
      <c r="C94" s="662" t="s">
        <v>132</v>
      </c>
      <c r="D94" s="662"/>
      <c r="E94" s="667">
        <f>I94/$E$101</f>
        <v>1805.9744065159227</v>
      </c>
      <c r="F94" s="668">
        <v>504860.14534152613</v>
      </c>
      <c r="G94" s="669">
        <v>425765.53835102671</v>
      </c>
      <c r="H94" s="669">
        <v>403888.11627322092</v>
      </c>
      <c r="I94" s="669">
        <v>403888.11627322092</v>
      </c>
      <c r="K94" s="492"/>
      <c r="L94" s="492"/>
      <c r="M94" s="492"/>
      <c r="N94" s="492"/>
      <c r="O94" s="492"/>
      <c r="P94" s="492"/>
    </row>
    <row r="95" spans="1:22" x14ac:dyDescent="0.3">
      <c r="A95" s="662"/>
      <c r="B95" s="662"/>
      <c r="C95" s="662" t="s">
        <v>131</v>
      </c>
      <c r="D95" s="662"/>
      <c r="E95" s="667">
        <f>F95/$E$101</f>
        <v>1005.3420551798945</v>
      </c>
      <c r="F95" s="668">
        <v>224834.69722043158</v>
      </c>
      <c r="G95" s="669">
        <v>158438.3242469648</v>
      </c>
      <c r="H95" s="669">
        <v>124055.10409066474</v>
      </c>
      <c r="I95" s="669">
        <v>111649.59368159824</v>
      </c>
      <c r="K95" s="492"/>
      <c r="L95" s="492"/>
      <c r="M95" s="492"/>
      <c r="N95" s="492"/>
      <c r="O95" s="492"/>
      <c r="P95" s="492"/>
    </row>
    <row r="96" spans="1:22" x14ac:dyDescent="0.3">
      <c r="A96" s="662"/>
      <c r="B96" s="662"/>
      <c r="C96" s="662" t="s">
        <v>155</v>
      </c>
      <c r="D96" s="662"/>
      <c r="E96" s="667">
        <f>F96/$E$101</f>
        <v>482.48383112550499</v>
      </c>
      <c r="F96" s="668">
        <v>107902.68399290793</v>
      </c>
      <c r="G96" s="668">
        <v>10790.268399290793</v>
      </c>
      <c r="H96" s="668">
        <v>2158.0536798581588</v>
      </c>
      <c r="I96" s="668">
        <v>1079.0268399290794</v>
      </c>
      <c r="K96" s="492"/>
      <c r="L96" s="492"/>
      <c r="M96" s="492"/>
      <c r="N96" s="492"/>
      <c r="O96" s="492"/>
      <c r="P96" s="492"/>
    </row>
    <row r="97" spans="1:16" x14ac:dyDescent="0.3">
      <c r="A97" s="662"/>
      <c r="B97" s="662"/>
      <c r="C97" s="662" t="s">
        <v>112</v>
      </c>
      <c r="D97" s="662"/>
      <c r="E97" s="667">
        <f>F97/$E$101</f>
        <v>374.52938944503023</v>
      </c>
      <c r="F97" s="668">
        <v>83759.752655486562</v>
      </c>
      <c r="G97" s="668">
        <v>59499.413099728226</v>
      </c>
      <c r="H97" s="668">
        <v>53010.127404374376</v>
      </c>
      <c r="I97" s="668">
        <v>51661.673679474829</v>
      </c>
      <c r="K97" s="492"/>
      <c r="L97" s="492"/>
      <c r="M97" s="492"/>
      <c r="N97" s="492"/>
      <c r="O97" s="492"/>
      <c r="P97" s="492"/>
    </row>
    <row r="98" spans="1:16" x14ac:dyDescent="0.3">
      <c r="A98" s="662"/>
      <c r="B98" s="662"/>
      <c r="C98" s="662"/>
      <c r="D98" s="662"/>
      <c r="E98" s="662"/>
      <c r="F98" s="678"/>
      <c r="G98" s="678"/>
      <c r="H98" s="678"/>
      <c r="I98" s="678"/>
      <c r="K98" s="473"/>
      <c r="L98" s="473"/>
      <c r="M98" s="473"/>
      <c r="N98" s="492"/>
      <c r="O98" s="492"/>
      <c r="P98" s="492"/>
    </row>
    <row r="99" spans="1:16" x14ac:dyDescent="0.3">
      <c r="A99" s="670"/>
      <c r="B99" s="670"/>
      <c r="C99" s="671" t="s">
        <v>81</v>
      </c>
      <c r="D99" s="671"/>
      <c r="E99" s="671"/>
      <c r="F99" s="679">
        <f>SUM(F94:F97)</f>
        <v>921357.27921035211</v>
      </c>
      <c r="G99" s="679">
        <f t="shared" ref="G99:I99" si="40">SUM(G94:G97)</f>
        <v>654493.5440970104</v>
      </c>
      <c r="H99" s="679">
        <f t="shared" si="40"/>
        <v>583111.40144811815</v>
      </c>
      <c r="I99" s="679">
        <f t="shared" si="40"/>
        <v>568278.41047422308</v>
      </c>
      <c r="K99" s="473"/>
      <c r="L99" s="473"/>
      <c r="M99" s="473"/>
      <c r="N99" s="492"/>
      <c r="O99" s="492"/>
      <c r="P99" s="492"/>
    </row>
    <row r="100" spans="1:16" x14ac:dyDescent="0.3">
      <c r="A100" s="662"/>
      <c r="B100" s="662"/>
      <c r="C100" s="673" t="s">
        <v>186</v>
      </c>
      <c r="D100" s="662"/>
      <c r="E100" s="662"/>
      <c r="F100" s="680">
        <f>F99/$E$101</f>
        <v>4119.8232838953327</v>
      </c>
      <c r="G100" s="680">
        <f>G99/$E$101</f>
        <v>2926.5495622295225</v>
      </c>
      <c r="H100" s="680">
        <f>H99/$E$101</f>
        <v>2607.3663094621634</v>
      </c>
      <c r="I100" s="680">
        <f>I99/$E$101</f>
        <v>2541.041005518794</v>
      </c>
      <c r="K100" s="473"/>
      <c r="L100" s="473"/>
      <c r="M100" s="473"/>
      <c r="N100" s="492"/>
      <c r="O100" s="492"/>
      <c r="P100" s="492"/>
    </row>
    <row r="101" spans="1:16" x14ac:dyDescent="0.3">
      <c r="A101" s="662"/>
      <c r="B101" s="662"/>
      <c r="C101" s="665" t="s">
        <v>113</v>
      </c>
      <c r="D101" s="665"/>
      <c r="E101" s="681">
        <v>223.64</v>
      </c>
      <c r="F101" s="682" t="s">
        <v>153</v>
      </c>
      <c r="G101" s="682"/>
      <c r="H101" s="682"/>
      <c r="I101" s="683"/>
      <c r="K101" s="473"/>
      <c r="L101" s="473"/>
      <c r="M101" s="473"/>
      <c r="N101" s="492"/>
      <c r="O101" s="492"/>
      <c r="P101" s="492"/>
    </row>
    <row r="102" spans="1:16" x14ac:dyDescent="0.3">
      <c r="A102" s="662"/>
      <c r="B102" s="662"/>
      <c r="C102" s="665"/>
      <c r="D102" s="665"/>
      <c r="E102" s="665"/>
      <c r="F102" s="684"/>
      <c r="G102" s="682"/>
      <c r="H102" s="682"/>
      <c r="I102" s="682"/>
      <c r="K102" s="492"/>
      <c r="L102" s="492"/>
      <c r="M102" s="492"/>
      <c r="N102" s="492"/>
      <c r="O102" s="492"/>
      <c r="P102" s="492"/>
    </row>
    <row r="103" spans="1:16" s="626" customFormat="1" x14ac:dyDescent="0.3">
      <c r="A103" s="662"/>
      <c r="B103" s="662"/>
      <c r="C103" s="662"/>
      <c r="D103" s="662"/>
      <c r="E103" s="662"/>
      <c r="F103" s="662"/>
      <c r="G103" s="662"/>
      <c r="H103" s="662"/>
      <c r="I103" s="662"/>
      <c r="K103" s="414"/>
      <c r="L103" s="414"/>
      <c r="M103" s="414"/>
      <c r="N103" s="414"/>
      <c r="O103" s="414"/>
      <c r="P103" s="414"/>
    </row>
    <row r="104" spans="1:16" x14ac:dyDescent="0.3">
      <c r="A104" s="677" t="s">
        <v>30</v>
      </c>
      <c r="B104" s="664" t="s">
        <v>253</v>
      </c>
      <c r="C104" s="662"/>
      <c r="D104" s="662"/>
      <c r="E104" s="662"/>
      <c r="F104" s="662"/>
      <c r="G104" s="662"/>
      <c r="H104" s="662"/>
      <c r="I104" s="662"/>
      <c r="K104" s="492"/>
      <c r="L104" s="492"/>
      <c r="M104" s="492"/>
      <c r="N104" s="492"/>
      <c r="O104" s="492"/>
      <c r="P104" s="492"/>
    </row>
    <row r="105" spans="1:16" x14ac:dyDescent="0.3">
      <c r="A105" s="662"/>
      <c r="B105" s="662"/>
      <c r="C105" s="662"/>
      <c r="D105" s="662"/>
      <c r="E105" s="662"/>
      <c r="F105" s="666" t="s">
        <v>85</v>
      </c>
      <c r="G105" s="666" t="s">
        <v>107</v>
      </c>
      <c r="H105" s="666" t="s">
        <v>109</v>
      </c>
      <c r="I105" s="666" t="s">
        <v>108</v>
      </c>
      <c r="K105" s="492"/>
      <c r="L105" s="492"/>
      <c r="M105" s="492"/>
      <c r="N105" s="492"/>
      <c r="O105" s="492"/>
      <c r="P105" s="492"/>
    </row>
    <row r="106" spans="1:16" x14ac:dyDescent="0.3">
      <c r="A106" s="662"/>
      <c r="B106" s="662"/>
      <c r="C106" s="662" t="s">
        <v>130</v>
      </c>
      <c r="D106" s="662"/>
      <c r="E106" s="667">
        <f>I106/$E$113</f>
        <v>1812.0570969883713</v>
      </c>
      <c r="F106" s="668">
        <v>554330.91668245511</v>
      </c>
      <c r="G106" s="669">
        <v>467485.90345998685</v>
      </c>
      <c r="H106" s="669">
        <v>443464.73334596411</v>
      </c>
      <c r="I106" s="669">
        <v>443464.73334596411</v>
      </c>
      <c r="K106" s="492"/>
      <c r="L106" s="492"/>
      <c r="M106" s="492"/>
      <c r="N106" s="492"/>
      <c r="O106" s="492"/>
      <c r="P106" s="492"/>
    </row>
    <row r="107" spans="1:16" x14ac:dyDescent="0.3">
      <c r="A107" s="662"/>
      <c r="B107" s="662"/>
      <c r="C107" s="662" t="s">
        <v>131</v>
      </c>
      <c r="D107" s="662"/>
      <c r="E107" s="667">
        <f>F107/$E$113</f>
        <v>1170.3715131460065</v>
      </c>
      <c r="F107" s="668">
        <v>286425.02041222213</v>
      </c>
      <c r="G107" s="669">
        <v>201840.28896582269</v>
      </c>
      <c r="H107" s="669">
        <v>158038.26616037099</v>
      </c>
      <c r="I107" s="669">
        <v>142234.43954433387</v>
      </c>
      <c r="K107" s="492"/>
      <c r="L107" s="492"/>
      <c r="M107" s="492"/>
      <c r="N107" s="492"/>
      <c r="O107" s="492"/>
      <c r="P107" s="492"/>
    </row>
    <row r="108" spans="1:16" x14ac:dyDescent="0.3">
      <c r="A108" s="662"/>
      <c r="B108" s="662"/>
      <c r="C108" s="662" t="s">
        <v>156</v>
      </c>
      <c r="D108" s="662"/>
      <c r="E108" s="667">
        <f>F108/$E$113</f>
        <v>523.74578548913303</v>
      </c>
      <c r="F108" s="668">
        <v>128176.30608275552</v>
      </c>
      <c r="G108" s="668">
        <v>12817.630608275551</v>
      </c>
      <c r="H108" s="668">
        <v>2563.5261216551107</v>
      </c>
      <c r="I108" s="668">
        <v>1281.7630608275554</v>
      </c>
      <c r="K108" s="492"/>
      <c r="L108" s="492"/>
      <c r="M108" s="492"/>
      <c r="N108" s="492"/>
      <c r="O108" s="492"/>
      <c r="P108" s="492"/>
    </row>
    <row r="109" spans="1:16" x14ac:dyDescent="0.3">
      <c r="A109" s="662"/>
      <c r="B109" s="662"/>
      <c r="C109" s="665" t="s">
        <v>112</v>
      </c>
      <c r="D109" s="665"/>
      <c r="E109" s="667">
        <f>F109/$E$113</f>
        <v>395.91886698706037</v>
      </c>
      <c r="F109" s="668">
        <v>96893.224317743283</v>
      </c>
      <c r="G109" s="668">
        <v>68214.382303408507</v>
      </c>
      <c r="H109" s="668">
        <v>60406.652562799027</v>
      </c>
      <c r="I109" s="668">
        <v>58698.093595112558</v>
      </c>
      <c r="K109" s="492"/>
      <c r="L109" s="492"/>
      <c r="M109" s="492"/>
      <c r="N109" s="492"/>
      <c r="O109" s="492"/>
      <c r="P109" s="492"/>
    </row>
    <row r="110" spans="1:16" x14ac:dyDescent="0.3">
      <c r="A110" s="662"/>
      <c r="B110" s="662"/>
      <c r="C110" s="665"/>
      <c r="D110" s="665"/>
      <c r="E110" s="665"/>
      <c r="F110" s="685"/>
      <c r="G110" s="685"/>
      <c r="H110" s="685"/>
      <c r="I110" s="685"/>
      <c r="K110" s="492"/>
      <c r="L110" s="492"/>
      <c r="M110" s="492"/>
      <c r="N110" s="492"/>
      <c r="O110" s="492"/>
      <c r="P110" s="492"/>
    </row>
    <row r="111" spans="1:16" x14ac:dyDescent="0.3">
      <c r="A111" s="670"/>
      <c r="B111" s="670"/>
      <c r="C111" s="671" t="s">
        <v>81</v>
      </c>
      <c r="D111" s="671"/>
      <c r="E111" s="671"/>
      <c r="F111" s="679">
        <f>SUM(F106:F109)</f>
        <v>1065825.467495176</v>
      </c>
      <c r="G111" s="679">
        <f t="shared" ref="G111:I111" si="41">SUM(G106:G109)</f>
        <v>750358.20533749356</v>
      </c>
      <c r="H111" s="679">
        <f t="shared" si="41"/>
        <v>664473.1781907893</v>
      </c>
      <c r="I111" s="679">
        <f t="shared" si="41"/>
        <v>645679.02954623802</v>
      </c>
      <c r="K111" s="492"/>
      <c r="L111" s="492"/>
      <c r="M111" s="492"/>
      <c r="N111" s="492"/>
      <c r="O111" s="492"/>
      <c r="P111" s="492"/>
    </row>
    <row r="112" spans="1:16" x14ac:dyDescent="0.3">
      <c r="A112" s="662"/>
      <c r="B112" s="662"/>
      <c r="C112" s="673" t="s">
        <v>186</v>
      </c>
      <c r="D112" s="665"/>
      <c r="E112" s="665"/>
      <c r="F112" s="682">
        <f>F111/$E$113</f>
        <v>4355.1075368576639</v>
      </c>
      <c r="G112" s="682">
        <f>G111/$E$113</f>
        <v>3066.065481704301</v>
      </c>
      <c r="H112" s="682">
        <f>H111/$E$113</f>
        <v>2715.1276026265245</v>
      </c>
      <c r="I112" s="682">
        <f>I111/$E$113</f>
        <v>2638.3321601202879</v>
      </c>
      <c r="K112" s="492"/>
      <c r="L112" s="492"/>
      <c r="M112" s="492"/>
      <c r="N112" s="492"/>
      <c r="O112" s="492"/>
      <c r="P112" s="492"/>
    </row>
    <row r="113" spans="1:16" x14ac:dyDescent="0.3">
      <c r="A113" s="662"/>
      <c r="B113" s="662"/>
      <c r="C113" s="665" t="s">
        <v>113</v>
      </c>
      <c r="D113" s="665"/>
      <c r="E113" s="681">
        <v>244.73</v>
      </c>
      <c r="F113" s="674" t="s">
        <v>153</v>
      </c>
      <c r="G113" s="682"/>
      <c r="H113" s="682"/>
      <c r="I113" s="682"/>
      <c r="K113" s="492"/>
      <c r="L113" s="492"/>
      <c r="M113" s="492"/>
      <c r="N113" s="492"/>
      <c r="O113" s="492"/>
      <c r="P113" s="492"/>
    </row>
    <row r="114" spans="1:16" x14ac:dyDescent="0.3">
      <c r="A114" s="662"/>
      <c r="B114" s="662"/>
      <c r="C114" s="662"/>
      <c r="D114" s="662"/>
      <c r="E114" s="662"/>
      <c r="F114" s="662"/>
      <c r="G114" s="662"/>
      <c r="H114" s="662"/>
      <c r="I114" s="662"/>
      <c r="K114" s="492"/>
      <c r="L114" s="492"/>
      <c r="M114" s="492"/>
      <c r="N114" s="492"/>
      <c r="O114" s="492"/>
      <c r="P114" s="492"/>
    </row>
    <row r="115" spans="1:16" x14ac:dyDescent="0.3">
      <c r="A115" s="662"/>
      <c r="B115" s="662"/>
      <c r="C115" s="662"/>
      <c r="D115" s="662"/>
      <c r="E115" s="662"/>
      <c r="F115" s="686"/>
      <c r="G115" s="686"/>
      <c r="H115" s="686"/>
      <c r="I115" s="686"/>
      <c r="K115" s="492"/>
      <c r="L115" s="492"/>
      <c r="M115" s="492"/>
      <c r="N115" s="492"/>
      <c r="O115" s="492"/>
      <c r="P115" s="492"/>
    </row>
    <row r="116" spans="1:16" x14ac:dyDescent="0.3">
      <c r="A116" s="677" t="s">
        <v>31</v>
      </c>
      <c r="B116" s="677" t="s">
        <v>63</v>
      </c>
      <c r="C116" s="662"/>
      <c r="D116" s="662"/>
      <c r="E116" s="662"/>
      <c r="F116" s="662"/>
      <c r="G116" s="662"/>
      <c r="H116" s="662"/>
      <c r="I116" s="662"/>
      <c r="K116" s="492"/>
      <c r="L116" s="492"/>
      <c r="M116" s="492"/>
      <c r="N116" s="492"/>
      <c r="O116" s="492"/>
      <c r="P116" s="492"/>
    </row>
    <row r="117" spans="1:16" x14ac:dyDescent="0.3">
      <c r="A117" s="662"/>
      <c r="B117" s="662"/>
      <c r="C117" s="662"/>
      <c r="D117" s="662"/>
      <c r="E117" s="662"/>
      <c r="F117" s="686" t="s">
        <v>85</v>
      </c>
      <c r="G117" s="686" t="s">
        <v>107</v>
      </c>
      <c r="H117" s="686" t="s">
        <v>109</v>
      </c>
      <c r="I117" s="686" t="s">
        <v>108</v>
      </c>
      <c r="K117" s="492"/>
      <c r="L117" s="492"/>
      <c r="M117" s="492"/>
      <c r="N117" s="492"/>
      <c r="O117" s="492"/>
      <c r="P117" s="492"/>
    </row>
    <row r="118" spans="1:16" x14ac:dyDescent="0.3">
      <c r="A118" s="662"/>
      <c r="B118" s="662"/>
      <c r="C118" s="662" t="s">
        <v>152</v>
      </c>
      <c r="D118" s="662"/>
      <c r="E118" s="662"/>
      <c r="F118" s="663">
        <f>F111+F99+F86</f>
        <v>2881423.8921057829</v>
      </c>
      <c r="G118" s="663">
        <f t="shared" ref="G118:I118" si="42">G111+G99+G86</f>
        <v>2026930.4114405119</v>
      </c>
      <c r="H118" s="663">
        <f t="shared" si="42"/>
        <v>1795066.2556259686</v>
      </c>
      <c r="I118" s="663">
        <f t="shared" si="42"/>
        <v>1744444.4515101309</v>
      </c>
      <c r="K118" s="492"/>
      <c r="L118" s="492"/>
      <c r="M118" s="492"/>
      <c r="N118" s="492"/>
      <c r="O118" s="492"/>
      <c r="P118" s="492"/>
    </row>
    <row r="119" spans="1:16" x14ac:dyDescent="0.3">
      <c r="A119" s="662"/>
      <c r="B119" s="662"/>
      <c r="C119" s="662" t="s">
        <v>138</v>
      </c>
      <c r="D119" s="662"/>
      <c r="E119" s="662"/>
      <c r="F119" s="687">
        <v>0.02</v>
      </c>
      <c r="G119" s="687">
        <v>0.02</v>
      </c>
      <c r="H119" s="687">
        <v>0.02</v>
      </c>
      <c r="I119" s="687">
        <v>0.02</v>
      </c>
      <c r="K119" s="492"/>
      <c r="L119" s="492"/>
      <c r="M119" s="492"/>
      <c r="N119" s="492"/>
      <c r="O119" s="492"/>
      <c r="P119" s="492"/>
    </row>
    <row r="120" spans="1:16" x14ac:dyDescent="0.3">
      <c r="A120" s="662"/>
      <c r="B120" s="662"/>
      <c r="C120" s="662"/>
      <c r="D120" s="662"/>
      <c r="E120" s="662"/>
      <c r="F120" s="688"/>
      <c r="G120" s="688"/>
      <c r="H120" s="688"/>
      <c r="I120" s="688"/>
      <c r="K120" s="492"/>
      <c r="L120" s="492"/>
      <c r="M120" s="492"/>
      <c r="N120" s="492"/>
      <c r="O120" s="492"/>
      <c r="P120" s="492"/>
    </row>
    <row r="121" spans="1:16" x14ac:dyDescent="0.3">
      <c r="A121" s="670"/>
      <c r="B121" s="670"/>
      <c r="C121" s="671" t="s">
        <v>81</v>
      </c>
      <c r="D121" s="671"/>
      <c r="E121" s="671"/>
      <c r="F121" s="679">
        <f>F119*F118</f>
        <v>57628.477842115659</v>
      </c>
      <c r="G121" s="679">
        <f t="shared" ref="G121:I121" si="43">G119*G118</f>
        <v>40538.608228810241</v>
      </c>
      <c r="H121" s="679">
        <f t="shared" si="43"/>
        <v>35901.325112519371</v>
      </c>
      <c r="I121" s="679">
        <f t="shared" si="43"/>
        <v>34888.889030202619</v>
      </c>
      <c r="K121" s="492"/>
      <c r="L121" s="492"/>
      <c r="M121" s="492"/>
      <c r="N121" s="492"/>
      <c r="O121" s="492"/>
      <c r="P121" s="492"/>
    </row>
    <row r="122" spans="1:16" x14ac:dyDescent="0.3">
      <c r="A122" s="662"/>
      <c r="B122" s="662"/>
      <c r="C122" s="673" t="s">
        <v>186</v>
      </c>
      <c r="D122" s="665"/>
      <c r="E122" s="665"/>
      <c r="F122" s="682">
        <f>F121/$E$123</f>
        <v>4276.315121630405</v>
      </c>
      <c r="G122" s="682">
        <f>G121/$E$123</f>
        <v>3008.1631490190293</v>
      </c>
      <c r="H122" s="682">
        <f>H121/$E$123</f>
        <v>2664.0540443537034</v>
      </c>
      <c r="I122" s="682">
        <f>I121/$E$123</f>
        <v>2588.9263316218685</v>
      </c>
      <c r="K122" s="492"/>
      <c r="L122" s="492"/>
      <c r="M122" s="492"/>
      <c r="N122" s="492"/>
      <c r="O122" s="492"/>
      <c r="P122" s="492"/>
    </row>
    <row r="123" spans="1:16" x14ac:dyDescent="0.3">
      <c r="A123" s="662"/>
      <c r="B123" s="662"/>
      <c r="C123" s="665" t="s">
        <v>187</v>
      </c>
      <c r="D123" s="665"/>
      <c r="E123" s="681">
        <f>F119*(E113+E101+E88)</f>
        <v>13.476199999999999</v>
      </c>
      <c r="F123" s="674" t="s">
        <v>153</v>
      </c>
      <c r="G123" s="682"/>
      <c r="H123" s="682"/>
      <c r="I123" s="682"/>
      <c r="K123" s="492"/>
      <c r="L123" s="492"/>
      <c r="M123" s="492"/>
      <c r="N123" s="492"/>
      <c r="O123" s="492"/>
      <c r="P123" s="492"/>
    </row>
    <row r="124" spans="1:16" x14ac:dyDescent="0.3">
      <c r="A124" s="662"/>
      <c r="B124" s="662"/>
      <c r="C124" s="662"/>
      <c r="D124" s="662"/>
      <c r="E124" s="662"/>
      <c r="F124" s="662"/>
      <c r="G124" s="662"/>
      <c r="H124" s="662"/>
      <c r="I124" s="662"/>
      <c r="K124" s="492"/>
      <c r="L124" s="492"/>
      <c r="M124" s="492"/>
      <c r="N124" s="492"/>
      <c r="O124" s="492"/>
      <c r="P124" s="492"/>
    </row>
    <row r="125" spans="1:16" x14ac:dyDescent="0.3">
      <c r="K125" s="492"/>
      <c r="L125" s="492"/>
      <c r="M125" s="492"/>
      <c r="N125" s="492"/>
      <c r="O125" s="492"/>
      <c r="P125" s="492"/>
    </row>
    <row r="126" spans="1:16" x14ac:dyDescent="0.3">
      <c r="A126" s="626"/>
      <c r="B126" s="626"/>
      <c r="C126" s="102"/>
      <c r="D126" s="192"/>
      <c r="E126" s="192"/>
      <c r="F126" s="100"/>
      <c r="G126" s="100"/>
      <c r="H126" s="100"/>
      <c r="I126" s="100"/>
    </row>
    <row r="127" spans="1:16" x14ac:dyDescent="0.3">
      <c r="C127" s="414"/>
      <c r="D127" s="490"/>
      <c r="E127" s="490"/>
      <c r="F127" s="294"/>
      <c r="G127" s="446"/>
      <c r="H127" s="446"/>
      <c r="I127" s="446"/>
    </row>
    <row r="128" spans="1:16" x14ac:dyDescent="0.3">
      <c r="C128" s="492"/>
      <c r="D128" s="490"/>
      <c r="E128" s="72"/>
      <c r="F128" s="25"/>
      <c r="G128" s="446"/>
      <c r="H128" s="446"/>
      <c r="I128" s="446"/>
    </row>
    <row r="130" spans="1:9" x14ac:dyDescent="0.3">
      <c r="A130" s="677" t="s">
        <v>149</v>
      </c>
      <c r="B130" s="662"/>
      <c r="C130" s="662"/>
      <c r="D130" s="662"/>
      <c r="E130" s="662"/>
      <c r="F130" s="662"/>
      <c r="G130" s="662"/>
      <c r="H130" s="662"/>
      <c r="I130" s="662"/>
    </row>
    <row r="131" spans="1:9" x14ac:dyDescent="0.3">
      <c r="A131" s="662" t="s">
        <v>28</v>
      </c>
      <c r="B131" s="662" t="s">
        <v>458</v>
      </c>
      <c r="C131" s="662"/>
      <c r="D131" s="662"/>
      <c r="E131" s="662"/>
      <c r="F131" s="662"/>
      <c r="G131" s="662"/>
      <c r="H131" s="662"/>
      <c r="I131" s="662"/>
    </row>
    <row r="132" spans="1:9" x14ac:dyDescent="0.3">
      <c r="A132" s="662" t="s">
        <v>29</v>
      </c>
      <c r="B132" s="662" t="s">
        <v>458</v>
      </c>
      <c r="C132" s="662"/>
      <c r="D132" s="662"/>
      <c r="E132" s="662"/>
      <c r="F132" s="662"/>
      <c r="G132" s="662"/>
      <c r="H132" s="662"/>
      <c r="I132" s="662"/>
    </row>
    <row r="133" spans="1:9" x14ac:dyDescent="0.3">
      <c r="A133" s="662" t="s">
        <v>30</v>
      </c>
      <c r="B133" s="662" t="s">
        <v>458</v>
      </c>
      <c r="C133" s="662"/>
      <c r="D133" s="662"/>
      <c r="E133" s="662"/>
      <c r="F133" s="662"/>
      <c r="G133" s="662"/>
      <c r="H133" s="662"/>
      <c r="I133" s="662"/>
    </row>
    <row r="134" spans="1:9" x14ac:dyDescent="0.3">
      <c r="A134" s="662" t="s">
        <v>31</v>
      </c>
      <c r="B134" s="662" t="s">
        <v>459</v>
      </c>
      <c r="C134" s="662"/>
      <c r="D134" s="662"/>
      <c r="E134" s="662"/>
      <c r="F134" s="662"/>
      <c r="G134" s="662"/>
      <c r="H134" s="662"/>
      <c r="I134" s="662"/>
    </row>
    <row r="135" spans="1:9" x14ac:dyDescent="0.3">
      <c r="A135" s="662"/>
      <c r="B135" s="662"/>
      <c r="C135" s="662"/>
      <c r="D135" s="662"/>
      <c r="E135" s="662"/>
      <c r="F135" s="662"/>
      <c r="G135" s="662"/>
      <c r="H135" s="662"/>
      <c r="I135" s="662"/>
    </row>
    <row r="136" spans="1:9" x14ac:dyDescent="0.3">
      <c r="A136" s="677" t="s">
        <v>213</v>
      </c>
      <c r="B136" s="662"/>
      <c r="C136" s="662"/>
      <c r="D136" s="662"/>
      <c r="E136" s="662"/>
      <c r="F136" s="662"/>
      <c r="G136" s="662"/>
      <c r="H136" s="662"/>
      <c r="I136" s="662"/>
    </row>
    <row r="137" spans="1:9" x14ac:dyDescent="0.3">
      <c r="A137" s="662" t="s">
        <v>28</v>
      </c>
      <c r="B137" s="662" t="s">
        <v>462</v>
      </c>
      <c r="C137" s="662"/>
      <c r="D137" s="662"/>
      <c r="E137" s="662"/>
      <c r="F137" s="662"/>
      <c r="G137" s="662"/>
      <c r="H137" s="662"/>
      <c r="I137" s="662"/>
    </row>
    <row r="138" spans="1:9" x14ac:dyDescent="0.3">
      <c r="A138" s="662" t="s">
        <v>29</v>
      </c>
      <c r="B138" s="662" t="s">
        <v>462</v>
      </c>
      <c r="C138" s="662"/>
      <c r="D138" s="662"/>
      <c r="E138" s="662"/>
      <c r="F138" s="662"/>
      <c r="G138" s="662"/>
      <c r="H138" s="662"/>
      <c r="I138" s="662"/>
    </row>
    <row r="139" spans="1:9" x14ac:dyDescent="0.3">
      <c r="A139" s="662" t="s">
        <v>30</v>
      </c>
      <c r="B139" s="662" t="s">
        <v>462</v>
      </c>
      <c r="C139" s="662"/>
      <c r="D139" s="662"/>
      <c r="E139" s="662"/>
      <c r="F139" s="662"/>
      <c r="G139" s="662"/>
      <c r="H139" s="662"/>
      <c r="I139" s="662"/>
    </row>
    <row r="140" spans="1:9" x14ac:dyDescent="0.3">
      <c r="A140" s="662" t="s">
        <v>31</v>
      </c>
      <c r="B140" s="662" t="s">
        <v>215</v>
      </c>
      <c r="C140" s="662"/>
      <c r="D140" s="662"/>
      <c r="E140" s="662"/>
      <c r="F140" s="662"/>
      <c r="G140" s="662"/>
      <c r="H140" s="662"/>
      <c r="I140" s="662"/>
    </row>
  </sheetData>
  <pageMargins left="0.7" right="0.7" top="0.75" bottom="0.75" header="0.3" footer="0.3"/>
  <pageSetup orientation="portrait"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4"/>
  <sheetViews>
    <sheetView topLeftCell="A19" zoomScale="70" zoomScaleNormal="70" zoomScalePageLayoutView="150" workbookViewId="0">
      <selection activeCell="P65" sqref="P65"/>
    </sheetView>
  </sheetViews>
  <sheetFormatPr defaultColWidth="8.88671875" defaultRowHeight="14.4" x14ac:dyDescent="0.3"/>
  <cols>
    <col min="1" max="3" width="4.109375" style="70" customWidth="1"/>
    <col min="4" max="4" width="4.44140625" style="70" customWidth="1"/>
    <col min="5" max="5" width="32.6640625" style="70" customWidth="1"/>
    <col min="6" max="6" width="18.6640625" style="70" customWidth="1"/>
    <col min="7" max="7" width="15" style="70" customWidth="1"/>
    <col min="8" max="8" width="14.88671875" style="70" customWidth="1"/>
    <col min="9" max="9" width="14.44140625" style="70" bestFit="1" customWidth="1"/>
    <col min="10" max="10" width="17.33203125" style="70" customWidth="1"/>
    <col min="11" max="11" width="17.109375" style="70" customWidth="1"/>
    <col min="12" max="12" width="13.33203125" style="70" customWidth="1"/>
    <col min="13" max="13" width="9.44140625" style="70" customWidth="1"/>
    <col min="14" max="14" width="12.33203125" style="70" customWidth="1"/>
    <col min="15" max="17" width="8.88671875" style="70"/>
    <col min="18" max="19" width="9" style="70" customWidth="1"/>
    <col min="20" max="20" width="8.88671875" style="70"/>
    <col min="21" max="21" width="9.6640625" style="70" customWidth="1"/>
    <col min="22" max="22" width="12.44140625" style="70" customWidth="1"/>
    <col min="23" max="23" width="8.33203125" style="70" customWidth="1"/>
    <col min="24" max="24" width="8.88671875" style="70"/>
    <col min="25" max="25" width="17.33203125" style="70" customWidth="1"/>
    <col min="26" max="27" width="8.88671875" style="70"/>
    <col min="28" max="28" width="11.6640625" style="70" customWidth="1"/>
    <col min="29" max="16384" width="8.88671875" style="70"/>
  </cols>
  <sheetData>
    <row r="1" spans="1:14" ht="15" x14ac:dyDescent="0.25">
      <c r="A1" s="439" t="s">
        <v>368</v>
      </c>
    </row>
    <row r="2" spans="1:14" ht="15.75" thickBot="1" x14ac:dyDescent="0.3"/>
    <row r="3" spans="1:14" ht="42.9" customHeight="1" x14ac:dyDescent="0.25">
      <c r="A3" s="59" t="s">
        <v>110</v>
      </c>
      <c r="F3" s="185" t="s">
        <v>229</v>
      </c>
      <c r="G3" s="70">
        <v>1</v>
      </c>
      <c r="H3" s="70">
        <v>10</v>
      </c>
      <c r="I3" s="70">
        <v>50</v>
      </c>
      <c r="J3" s="70">
        <v>100</v>
      </c>
      <c r="K3" s="70" t="s">
        <v>115</v>
      </c>
      <c r="L3" s="70" t="s">
        <v>141</v>
      </c>
      <c r="N3" s="634" t="s">
        <v>479</v>
      </c>
    </row>
    <row r="4" spans="1:14" ht="15" x14ac:dyDescent="0.25">
      <c r="A4" s="59"/>
      <c r="B4" s="1000" t="s">
        <v>33</v>
      </c>
      <c r="C4" s="1000"/>
      <c r="D4" s="202"/>
      <c r="E4" s="524" t="s">
        <v>34</v>
      </c>
      <c r="F4" s="200">
        <f>SUMIF($F$55:$F$76,"="&amp;E4,$H$55:$H$76)</f>
        <v>20037.16</v>
      </c>
      <c r="G4" s="268">
        <f>SUMIF($F$27:$F$48,"="&amp;E4,$H$27:$H$48)</f>
        <v>25740</v>
      </c>
      <c r="H4" s="268">
        <f>$G4*H$3^(LOG10($K4)/LOG10(2))*H$3</f>
        <v>227101.82297815234</v>
      </c>
      <c r="I4" s="268">
        <f t="shared" ref="H4:J16" si="0">$G4*I$3^(LOG10($K4)/LOG10(2))*I$3</f>
        <v>1040339.5245428892</v>
      </c>
      <c r="J4" s="268">
        <f>$G4*J$3^(LOG10($K4)/LOG10(2))*J$3</f>
        <v>2003700.0000000014</v>
      </c>
      <c r="K4" s="269">
        <v>0.96300292007092581</v>
      </c>
      <c r="L4" s="270">
        <f>SUMIF($F$27:$F$44,"="&amp;E4,$K$27:$K$44)</f>
        <v>2073.5</v>
      </c>
      <c r="N4" s="635">
        <f>1-K4</f>
        <v>3.6997079929074195E-2</v>
      </c>
    </row>
    <row r="5" spans="1:14" ht="15" x14ac:dyDescent="0.25">
      <c r="B5" s="1000" t="s">
        <v>35</v>
      </c>
      <c r="C5" s="1000"/>
      <c r="D5" s="202"/>
      <c r="E5" s="524" t="s">
        <v>306</v>
      </c>
      <c r="F5" s="366">
        <f t="shared" ref="F5:F16" si="1">SUMIF($F$55:$F$76,"="&amp;E5,$H$55:$H$76)</f>
        <v>95755.66</v>
      </c>
      <c r="G5" s="268">
        <f t="shared" ref="G5:G16" si="2">SUMIF($F$27:$F$48,"="&amp;E5,$H$27:$H$48)</f>
        <v>115140.73999999999</v>
      </c>
      <c r="H5" s="268">
        <f t="shared" si="0"/>
        <v>1050019.8426429844</v>
      </c>
      <c r="I5" s="268">
        <f t="shared" si="0"/>
        <v>4922510.8913911395</v>
      </c>
      <c r="J5" s="268">
        <f>$G5*J$3^(LOG10($K5)/LOG10(2))*J$3</f>
        <v>9575599.9999999814</v>
      </c>
      <c r="K5" s="269">
        <v>0.97263370374116587</v>
      </c>
      <c r="L5" s="270">
        <f t="shared" ref="L5:L16" si="3">SUMIF($F$27:$F$44,"="&amp;E5,$K$27:$K$44)</f>
        <v>7955.460308390022</v>
      </c>
      <c r="N5" s="635">
        <f t="shared" ref="N5:N16" si="4">1-K5</f>
        <v>2.7366296258834133E-2</v>
      </c>
    </row>
    <row r="6" spans="1:14" ht="15" x14ac:dyDescent="0.25">
      <c r="B6" s="186" t="s">
        <v>36</v>
      </c>
      <c r="C6" s="186"/>
      <c r="D6" s="186"/>
      <c r="E6" s="525" t="s">
        <v>305</v>
      </c>
      <c r="F6" s="366">
        <f t="shared" si="1"/>
        <v>23452</v>
      </c>
      <c r="G6" s="268">
        <f t="shared" si="2"/>
        <v>56628</v>
      </c>
      <c r="H6" s="268">
        <f t="shared" si="0"/>
        <v>364422.81158022245</v>
      </c>
      <c r="I6" s="268">
        <f t="shared" si="0"/>
        <v>1338982.0595969318</v>
      </c>
      <c r="J6" s="268">
        <f t="shared" si="0"/>
        <v>2345200.0000006063</v>
      </c>
      <c r="K6" s="269">
        <v>0.87573988881769349</v>
      </c>
      <c r="L6" s="270">
        <f t="shared" si="3"/>
        <v>1292.72</v>
      </c>
      <c r="N6" s="635">
        <f t="shared" si="4"/>
        <v>0.12426011118230651</v>
      </c>
    </row>
    <row r="7" spans="1:14" ht="15" x14ac:dyDescent="0.25">
      <c r="B7" s="186" t="s">
        <v>37</v>
      </c>
      <c r="C7" s="186"/>
      <c r="D7" s="186"/>
      <c r="E7" s="525" t="s">
        <v>39</v>
      </c>
      <c r="F7" s="366">
        <f>SUMIF($F$55:$F$76,"="&amp;E7,$H$55:$H$76)</f>
        <v>19305</v>
      </c>
      <c r="G7" s="268">
        <f t="shared" si="2"/>
        <v>85800</v>
      </c>
      <c r="H7" s="200">
        <f t="shared" si="0"/>
        <v>406985.13486406015</v>
      </c>
      <c r="I7" s="200">
        <f t="shared" si="0"/>
        <v>1208220.1021814416</v>
      </c>
      <c r="J7" s="200">
        <f t="shared" si="0"/>
        <v>1930500.0000036976</v>
      </c>
      <c r="K7" s="269">
        <v>0.79890245019023443</v>
      </c>
      <c r="L7" s="270">
        <f t="shared" si="3"/>
        <v>1141.1399999999999</v>
      </c>
      <c r="N7" s="635">
        <f t="shared" si="4"/>
        <v>0.20109754980976557</v>
      </c>
    </row>
    <row r="8" spans="1:14" ht="15" x14ac:dyDescent="0.25">
      <c r="B8" s="186" t="s">
        <v>40</v>
      </c>
      <c r="C8" s="186"/>
      <c r="D8" s="186"/>
      <c r="E8" s="525" t="s">
        <v>41</v>
      </c>
      <c r="F8" s="366">
        <f t="shared" si="1"/>
        <v>42900</v>
      </c>
      <c r="G8" s="268">
        <f t="shared" si="2"/>
        <v>57200</v>
      </c>
      <c r="H8" s="200">
        <f t="shared" si="0"/>
        <v>495366.53096441738</v>
      </c>
      <c r="I8" s="200">
        <f t="shared" si="0"/>
        <v>2239919.7042117147</v>
      </c>
      <c r="J8" s="200">
        <f t="shared" si="0"/>
        <v>4289999.9999951245</v>
      </c>
      <c r="K8" s="269">
        <v>0.95762361300912935</v>
      </c>
      <c r="L8" s="270">
        <f t="shared" si="3"/>
        <v>0</v>
      </c>
      <c r="N8" s="635">
        <f t="shared" si="4"/>
        <v>4.2376386990870651E-2</v>
      </c>
    </row>
    <row r="9" spans="1:14" ht="15" x14ac:dyDescent="0.25">
      <c r="B9" s="186" t="s">
        <v>42</v>
      </c>
      <c r="C9" s="186"/>
      <c r="D9" s="186"/>
      <c r="E9" s="525" t="s">
        <v>43</v>
      </c>
      <c r="F9" s="366">
        <f t="shared" si="1"/>
        <v>88000</v>
      </c>
      <c r="G9" s="268">
        <f t="shared" si="2"/>
        <v>88000</v>
      </c>
      <c r="H9" s="200">
        <f t="shared" si="0"/>
        <v>880000</v>
      </c>
      <c r="I9" s="200">
        <f t="shared" si="0"/>
        <v>4400000</v>
      </c>
      <c r="J9" s="200">
        <f t="shared" si="0"/>
        <v>8800000</v>
      </c>
      <c r="K9" s="269">
        <v>1</v>
      </c>
      <c r="L9" s="270">
        <f t="shared" si="3"/>
        <v>0</v>
      </c>
      <c r="N9" s="635">
        <f t="shared" si="4"/>
        <v>0</v>
      </c>
    </row>
    <row r="10" spans="1:14" ht="15" x14ac:dyDescent="0.25">
      <c r="A10" s="23"/>
      <c r="B10" s="191" t="s">
        <v>44</v>
      </c>
      <c r="C10" s="191"/>
      <c r="D10" s="191"/>
      <c r="E10" s="526" t="s">
        <v>45</v>
      </c>
      <c r="F10" s="366">
        <f t="shared" si="1"/>
        <v>0</v>
      </c>
      <c r="G10" s="268">
        <f t="shared" si="2"/>
        <v>0</v>
      </c>
      <c r="H10" s="200">
        <f t="shared" si="0"/>
        <v>0</v>
      </c>
      <c r="I10" s="200">
        <f t="shared" si="0"/>
        <v>0</v>
      </c>
      <c r="J10" s="200">
        <f t="shared" si="0"/>
        <v>0</v>
      </c>
      <c r="K10" s="269">
        <v>0.96699999999999997</v>
      </c>
      <c r="L10" s="270">
        <f t="shared" si="3"/>
        <v>0</v>
      </c>
      <c r="N10" s="635">
        <f t="shared" si="4"/>
        <v>3.3000000000000029E-2</v>
      </c>
    </row>
    <row r="11" spans="1:14" ht="15" x14ac:dyDescent="0.25">
      <c r="B11" s="186" t="s">
        <v>46</v>
      </c>
      <c r="C11" s="186"/>
      <c r="D11" s="186"/>
      <c r="E11" s="525" t="s">
        <v>60</v>
      </c>
      <c r="F11" s="366">
        <f t="shared" si="1"/>
        <v>0</v>
      </c>
      <c r="G11" s="268">
        <f t="shared" si="2"/>
        <v>0</v>
      </c>
      <c r="H11" s="200">
        <f t="shared" si="0"/>
        <v>0</v>
      </c>
      <c r="I11" s="200">
        <f t="shared" si="0"/>
        <v>0</v>
      </c>
      <c r="J11" s="200">
        <f t="shared" si="0"/>
        <v>0</v>
      </c>
      <c r="K11" s="269">
        <v>0.96699999999999997</v>
      </c>
      <c r="L11" s="270">
        <f t="shared" si="3"/>
        <v>0</v>
      </c>
      <c r="N11" s="635">
        <f t="shared" si="4"/>
        <v>3.3000000000000029E-2</v>
      </c>
    </row>
    <row r="12" spans="1:14" ht="15" x14ac:dyDescent="0.25">
      <c r="B12" s="186" t="s">
        <v>61</v>
      </c>
      <c r="C12" s="186"/>
      <c r="D12" s="186"/>
      <c r="E12" s="525" t="s">
        <v>62</v>
      </c>
      <c r="F12" s="366">
        <f t="shared" si="1"/>
        <v>5000</v>
      </c>
      <c r="G12" s="268">
        <f t="shared" si="2"/>
        <v>5643.5</v>
      </c>
      <c r="H12" s="200">
        <f>$G12*H$3^(LOG10($K12)/LOG10(2))*H$3</f>
        <v>53120.14683715078</v>
      </c>
      <c r="I12" s="200">
        <f t="shared" si="0"/>
        <v>254597.34197343577</v>
      </c>
      <c r="J12" s="200">
        <f>$G12*J$3^(LOG10($K12)/LOG10(2))*J$3</f>
        <v>500000.00000008137</v>
      </c>
      <c r="K12" s="269">
        <v>0.98194269453969885</v>
      </c>
      <c r="L12" s="270">
        <f t="shared" si="3"/>
        <v>0</v>
      </c>
      <c r="N12" s="635">
        <f t="shared" si="4"/>
        <v>1.8057305460301154E-2</v>
      </c>
    </row>
    <row r="13" spans="1:14" ht="15" x14ac:dyDescent="0.25">
      <c r="B13" s="186" t="s">
        <v>67</v>
      </c>
      <c r="C13" s="186"/>
      <c r="D13" s="186"/>
      <c r="E13" s="525" t="s">
        <v>64</v>
      </c>
      <c r="F13" s="366">
        <f t="shared" si="1"/>
        <v>66307.956000000006</v>
      </c>
      <c r="G13" s="268">
        <f t="shared" si="2"/>
        <v>88410.608000000007</v>
      </c>
      <c r="H13" s="200">
        <f t="shared" si="0"/>
        <v>765658.57895391807</v>
      </c>
      <c r="I13" s="200">
        <f t="shared" si="0"/>
        <v>3462111.4431850729</v>
      </c>
      <c r="J13" s="200">
        <f t="shared" si="0"/>
        <v>6630799.9999924563</v>
      </c>
      <c r="K13" s="269">
        <v>0.95762370865396729</v>
      </c>
      <c r="L13" s="270">
        <f t="shared" si="3"/>
        <v>0</v>
      </c>
      <c r="N13" s="635">
        <f t="shared" si="4"/>
        <v>4.2376291346032713E-2</v>
      </c>
    </row>
    <row r="14" spans="1:14" ht="15" x14ac:dyDescent="0.25">
      <c r="B14" s="191" t="s">
        <v>68</v>
      </c>
      <c r="C14" s="191"/>
      <c r="D14" s="191"/>
      <c r="E14" s="526" t="s">
        <v>65</v>
      </c>
      <c r="F14" s="366">
        <f t="shared" si="1"/>
        <v>43500.6</v>
      </c>
      <c r="G14" s="268">
        <f t="shared" si="2"/>
        <v>58000.799999999996</v>
      </c>
      <c r="H14" s="200">
        <f t="shared" si="0"/>
        <v>502303.97179368313</v>
      </c>
      <c r="I14" s="200">
        <f t="shared" si="0"/>
        <v>2271296.3215799998</v>
      </c>
      <c r="J14" s="200">
        <f t="shared" si="0"/>
        <v>4350099.9999949867</v>
      </c>
      <c r="K14" s="269">
        <v>0.95762493838075957</v>
      </c>
      <c r="L14" s="270">
        <f t="shared" si="3"/>
        <v>0</v>
      </c>
      <c r="N14" s="635">
        <f t="shared" si="4"/>
        <v>4.2375061619240428E-2</v>
      </c>
    </row>
    <row r="15" spans="1:14" ht="15" x14ac:dyDescent="0.25">
      <c r="B15" s="186" t="s">
        <v>69</v>
      </c>
      <c r="C15" s="186"/>
      <c r="D15" s="186"/>
      <c r="E15" s="525" t="s">
        <v>139</v>
      </c>
      <c r="F15" s="366">
        <f t="shared" si="1"/>
        <v>5720</v>
      </c>
      <c r="G15" s="268">
        <f t="shared" si="2"/>
        <v>28600</v>
      </c>
      <c r="H15" s="200">
        <f t="shared" si="0"/>
        <v>127903.08831586117</v>
      </c>
      <c r="I15" s="200">
        <f t="shared" si="0"/>
        <v>364394.23865305091</v>
      </c>
      <c r="J15" s="200">
        <f t="shared" si="0"/>
        <v>572000.00002569868</v>
      </c>
      <c r="K15" s="269">
        <v>0.78486422032911807</v>
      </c>
      <c r="L15" s="270">
        <f t="shared" si="3"/>
        <v>0</v>
      </c>
      <c r="N15" s="635">
        <f t="shared" si="4"/>
        <v>0.21513577967088193</v>
      </c>
    </row>
    <row r="16" spans="1:14" ht="15" x14ac:dyDescent="0.25">
      <c r="B16" s="186" t="s">
        <v>70</v>
      </c>
      <c r="C16" s="186"/>
      <c r="D16" s="186"/>
      <c r="E16" s="525" t="s">
        <v>17</v>
      </c>
      <c r="F16" s="366">
        <f t="shared" si="1"/>
        <v>2860</v>
      </c>
      <c r="G16" s="268">
        <f t="shared" si="2"/>
        <v>14300</v>
      </c>
      <c r="H16" s="200">
        <f t="shared" si="0"/>
        <v>63951.544157930584</v>
      </c>
      <c r="I16" s="200">
        <f>$G16*I$3^(LOG10($K16)/LOG10(2))*I$3</f>
        <v>182197.11932652546</v>
      </c>
      <c r="J16" s="200">
        <f t="shared" si="0"/>
        <v>286000.00001284934</v>
      </c>
      <c r="K16" s="269">
        <v>0.78486422032911807</v>
      </c>
      <c r="L16" s="270">
        <f t="shared" si="3"/>
        <v>0</v>
      </c>
      <c r="N16" s="635">
        <f t="shared" si="4"/>
        <v>0.21513577967088193</v>
      </c>
    </row>
    <row r="17" spans="2:25" ht="15" x14ac:dyDescent="0.25">
      <c r="B17" s="186"/>
      <c r="C17" s="186"/>
      <c r="D17" s="186"/>
      <c r="E17" s="186"/>
      <c r="F17" s="204"/>
      <c r="G17" s="204"/>
      <c r="H17" s="204"/>
      <c r="I17" s="204"/>
      <c r="J17" s="204"/>
      <c r="K17" s="186"/>
      <c r="N17" s="635"/>
    </row>
    <row r="18" spans="2:25" ht="15" x14ac:dyDescent="0.25">
      <c r="B18" s="186"/>
      <c r="C18" s="186"/>
      <c r="D18" s="186"/>
      <c r="E18" s="203" t="s">
        <v>80</v>
      </c>
      <c r="F18" s="204"/>
      <c r="G18" s="204">
        <f>SUM(G4:G16)</f>
        <v>623463.64800000004</v>
      </c>
      <c r="H18" s="204">
        <f t="shared" ref="H18:I18" si="5">SUM(H4:H16)</f>
        <v>4936833.4730883809</v>
      </c>
      <c r="I18" s="204">
        <f t="shared" si="5"/>
        <v>21684568.746642202</v>
      </c>
      <c r="J18" s="204">
        <f>SUM(J4:J16)</f>
        <v>41283900.000025488</v>
      </c>
      <c r="K18" s="189"/>
      <c r="L18" s="287">
        <f>SUM(L4:L16)</f>
        <v>12462.820308390021</v>
      </c>
      <c r="N18" s="635"/>
    </row>
    <row r="19" spans="2:25" ht="15.75" thickBot="1" x14ac:dyDescent="0.3">
      <c r="B19" s="73"/>
      <c r="C19" s="73"/>
      <c r="D19" s="73"/>
      <c r="E19" s="74" t="s">
        <v>116</v>
      </c>
      <c r="F19" s="205">
        <f>SUM(F4:F16)</f>
        <v>412838.37599999999</v>
      </c>
      <c r="G19" s="205">
        <f>G18/G3</f>
        <v>623463.64800000004</v>
      </c>
      <c r="H19" s="205">
        <f>H18/H3</f>
        <v>493683.3473088381</v>
      </c>
      <c r="I19" s="205">
        <f>I18/I3</f>
        <v>433691.37493284402</v>
      </c>
      <c r="J19" s="205">
        <f>J18/J3</f>
        <v>412839.00000025489</v>
      </c>
      <c r="K19" s="186"/>
      <c r="N19" s="636"/>
    </row>
    <row r="20" spans="2:25" ht="15" x14ac:dyDescent="0.25">
      <c r="F20" s="41"/>
      <c r="I20" s="45"/>
      <c r="J20" s="41"/>
      <c r="O20" s="62"/>
      <c r="P20" s="62"/>
      <c r="Q20" s="62"/>
      <c r="R20" s="62"/>
      <c r="S20" s="62"/>
      <c r="T20" s="62"/>
      <c r="U20" s="62"/>
      <c r="V20" s="62"/>
      <c r="W20" s="62"/>
      <c r="X20" s="62"/>
      <c r="Y20" s="62"/>
    </row>
    <row r="21" spans="2:25" ht="15" x14ac:dyDescent="0.25">
      <c r="J21" s="50"/>
      <c r="O21" s="62"/>
      <c r="P21" s="62"/>
      <c r="Q21" s="62"/>
      <c r="R21" s="62"/>
      <c r="S21" s="62"/>
      <c r="T21" s="62"/>
      <c r="U21" s="62"/>
      <c r="V21" s="62"/>
      <c r="W21" s="62"/>
      <c r="X21" s="62"/>
      <c r="Y21" s="62"/>
    </row>
    <row r="22" spans="2:25" ht="15" x14ac:dyDescent="0.25">
      <c r="O22" s="62"/>
      <c r="P22" s="62"/>
      <c r="Q22" s="62"/>
      <c r="R22" s="62"/>
      <c r="S22" s="62"/>
      <c r="T22" s="62"/>
      <c r="U22" s="62"/>
      <c r="V22" s="62"/>
      <c r="W22" s="62"/>
      <c r="X22" s="62"/>
      <c r="Y22" s="62"/>
    </row>
    <row r="23" spans="2:25" ht="15" x14ac:dyDescent="0.25">
      <c r="O23" s="62"/>
      <c r="P23" s="62"/>
      <c r="Q23" s="62"/>
      <c r="R23" s="62"/>
      <c r="S23" s="62"/>
      <c r="T23" s="62"/>
      <c r="U23" s="62"/>
      <c r="V23" s="62"/>
      <c r="W23" s="62"/>
      <c r="X23" s="62"/>
      <c r="Y23" s="62"/>
    </row>
    <row r="24" spans="2:25" ht="15" x14ac:dyDescent="0.25">
      <c r="B24" s="59" t="s">
        <v>286</v>
      </c>
      <c r="C24" s="59"/>
      <c r="H24" s="419"/>
      <c r="O24" s="62"/>
      <c r="P24" s="62"/>
      <c r="Q24" s="62"/>
      <c r="R24" s="62"/>
      <c r="S24" s="62"/>
      <c r="T24" s="62"/>
      <c r="U24" s="62"/>
      <c r="V24" s="62"/>
      <c r="W24" s="62"/>
      <c r="X24" s="62"/>
      <c r="Y24" s="62"/>
    </row>
    <row r="25" spans="2:25" ht="15" x14ac:dyDescent="0.25">
      <c r="O25" s="62"/>
      <c r="P25" s="62"/>
      <c r="Q25" s="62"/>
      <c r="R25" s="62"/>
      <c r="S25" s="62"/>
      <c r="T25" s="62"/>
      <c r="U25" s="62"/>
      <c r="V25" s="62"/>
      <c r="W25" s="62"/>
      <c r="X25" s="62"/>
      <c r="Y25" s="62"/>
    </row>
    <row r="26" spans="2:25" ht="15" x14ac:dyDescent="0.25">
      <c r="E26" s="59" t="s">
        <v>83</v>
      </c>
      <c r="F26" s="59" t="s">
        <v>114</v>
      </c>
      <c r="G26" s="59" t="s">
        <v>307</v>
      </c>
      <c r="H26" s="59" t="s">
        <v>309</v>
      </c>
      <c r="I26" s="59"/>
      <c r="J26" s="59" t="s">
        <v>460</v>
      </c>
      <c r="K26" s="439" t="s">
        <v>461</v>
      </c>
      <c r="L26" s="59"/>
      <c r="M26" s="59"/>
      <c r="O26" s="62"/>
      <c r="P26" s="62"/>
      <c r="Q26" s="62"/>
      <c r="R26" s="62"/>
      <c r="S26" s="62"/>
      <c r="T26" s="62"/>
      <c r="U26" s="62"/>
      <c r="V26" s="62"/>
      <c r="W26" s="62"/>
      <c r="X26" s="62"/>
      <c r="Y26" s="62"/>
    </row>
    <row r="27" spans="2:25" ht="15" x14ac:dyDescent="0.25">
      <c r="D27" s="70">
        <v>1</v>
      </c>
      <c r="E27" s="417" t="s">
        <v>287</v>
      </c>
      <c r="F27" s="70" t="s">
        <v>306</v>
      </c>
      <c r="G27" s="64">
        <v>9350</v>
      </c>
      <c r="H27" s="522">
        <f>G27*2.86</f>
        <v>26741</v>
      </c>
      <c r="I27" s="403"/>
      <c r="J27" s="57">
        <f>2000/2.205</f>
        <v>907.02947845804988</v>
      </c>
      <c r="K27" s="57">
        <f>J27*2.86</f>
        <v>2594.1043083900227</v>
      </c>
      <c r="N27" s="65"/>
      <c r="O27" s="62"/>
      <c r="P27" s="62"/>
      <c r="Q27" s="62"/>
      <c r="R27" s="62"/>
      <c r="S27" s="62"/>
      <c r="T27" s="62"/>
      <c r="U27" s="62"/>
      <c r="V27" s="62"/>
      <c r="W27" s="62"/>
      <c r="X27" s="62"/>
      <c r="Y27" s="62"/>
    </row>
    <row r="28" spans="2:25" ht="15" x14ac:dyDescent="0.25">
      <c r="D28" s="70">
        <v>2</v>
      </c>
      <c r="E28" s="417" t="s">
        <v>303</v>
      </c>
      <c r="F28" s="489" t="s">
        <v>306</v>
      </c>
      <c r="G28" s="64">
        <v>408</v>
      </c>
      <c r="H28" s="522">
        <f t="shared" ref="H28:H46" si="6">G28*2.86</f>
        <v>1166.8799999999999</v>
      </c>
      <c r="I28" s="420"/>
      <c r="J28" s="57"/>
      <c r="K28" s="448">
        <f t="shared" ref="K28:K76" si="7">J28*2.86</f>
        <v>0</v>
      </c>
      <c r="O28" s="62"/>
      <c r="P28" s="62"/>
      <c r="Q28" s="62"/>
      <c r="R28" s="62"/>
      <c r="S28" s="62"/>
      <c r="T28" s="62"/>
      <c r="U28" s="62"/>
      <c r="V28" s="62"/>
      <c r="W28" s="62"/>
      <c r="X28" s="62"/>
      <c r="Y28" s="62"/>
    </row>
    <row r="29" spans="2:25" ht="15" x14ac:dyDescent="0.25">
      <c r="D29" s="70">
        <v>3</v>
      </c>
      <c r="E29" s="417" t="s">
        <v>288</v>
      </c>
      <c r="F29" s="489" t="s">
        <v>306</v>
      </c>
      <c r="G29" s="64">
        <v>116</v>
      </c>
      <c r="H29" s="522">
        <f t="shared" si="6"/>
        <v>331.76</v>
      </c>
      <c r="I29" s="420"/>
      <c r="J29" s="57"/>
      <c r="K29" s="448">
        <f t="shared" si="7"/>
        <v>0</v>
      </c>
      <c r="L29" s="625"/>
      <c r="O29" s="62"/>
      <c r="P29" s="62"/>
      <c r="Q29" s="62"/>
      <c r="R29" s="62"/>
      <c r="S29" s="62"/>
      <c r="T29" s="62"/>
      <c r="U29" s="62"/>
      <c r="V29" s="62"/>
      <c r="W29" s="62"/>
      <c r="X29" s="62"/>
      <c r="Y29" s="62"/>
    </row>
    <row r="30" spans="2:25" ht="15" x14ac:dyDescent="0.25">
      <c r="D30" s="70">
        <v>4</v>
      </c>
      <c r="E30" s="417" t="s">
        <v>301</v>
      </c>
      <c r="F30" s="489" t="s">
        <v>62</v>
      </c>
      <c r="G30" s="64">
        <v>225</v>
      </c>
      <c r="H30" s="522">
        <f t="shared" si="6"/>
        <v>643.5</v>
      </c>
      <c r="I30" s="420"/>
      <c r="J30" s="57"/>
      <c r="K30" s="448">
        <f t="shared" si="7"/>
        <v>0</v>
      </c>
      <c r="L30" s="625"/>
      <c r="O30" s="62"/>
      <c r="P30" s="62"/>
      <c r="Q30" s="62"/>
      <c r="R30" s="62"/>
      <c r="S30" s="62"/>
      <c r="T30" s="62"/>
      <c r="U30" s="62"/>
      <c r="V30" s="62"/>
      <c r="W30" s="62"/>
      <c r="X30" s="62"/>
      <c r="Y30" s="62"/>
    </row>
    <row r="31" spans="2:25" ht="15" x14ac:dyDescent="0.25">
      <c r="D31" s="70">
        <v>5</v>
      </c>
      <c r="E31" s="417" t="s">
        <v>300</v>
      </c>
      <c r="F31" s="489" t="s">
        <v>306</v>
      </c>
      <c r="G31" s="64">
        <v>956</v>
      </c>
      <c r="H31" s="522">
        <f t="shared" si="6"/>
        <v>2734.16</v>
      </c>
      <c r="I31" s="420"/>
      <c r="J31" s="57"/>
      <c r="K31" s="448">
        <f t="shared" si="7"/>
        <v>0</v>
      </c>
      <c r="L31" s="625"/>
      <c r="O31" s="62"/>
      <c r="P31" s="62"/>
      <c r="Q31" s="62"/>
      <c r="R31" s="62"/>
      <c r="S31" s="62"/>
      <c r="T31" s="62"/>
      <c r="U31" s="62"/>
      <c r="V31" s="62"/>
      <c r="W31" s="62"/>
      <c r="X31" s="62"/>
      <c r="Y31" s="62"/>
    </row>
    <row r="32" spans="2:25" ht="15" x14ac:dyDescent="0.25">
      <c r="D32" s="70">
        <v>6</v>
      </c>
      <c r="E32" s="417" t="s">
        <v>290</v>
      </c>
      <c r="F32" s="489" t="s">
        <v>306</v>
      </c>
      <c r="G32" s="64">
        <v>702</v>
      </c>
      <c r="H32" s="522">
        <f t="shared" si="6"/>
        <v>2007.7199999999998</v>
      </c>
      <c r="I32" s="420"/>
      <c r="J32" s="57"/>
      <c r="K32" s="448">
        <f t="shared" si="7"/>
        <v>0</v>
      </c>
      <c r="L32" s="625"/>
    </row>
    <row r="33" spans="4:12" ht="15" x14ac:dyDescent="0.25">
      <c r="D33" s="70">
        <v>7</v>
      </c>
      <c r="E33" s="417" t="s">
        <v>291</v>
      </c>
      <c r="F33" s="489" t="s">
        <v>305</v>
      </c>
      <c r="G33" s="64">
        <v>19800</v>
      </c>
      <c r="H33" s="522">
        <f t="shared" si="6"/>
        <v>56628</v>
      </c>
      <c r="I33" s="420"/>
      <c r="J33" s="57">
        <v>452</v>
      </c>
      <c r="K33" s="448">
        <f t="shared" si="7"/>
        <v>1292.72</v>
      </c>
    </row>
    <row r="34" spans="4:12" ht="15" x14ac:dyDescent="0.25">
      <c r="D34" s="70">
        <v>8</v>
      </c>
      <c r="E34" s="417" t="s">
        <v>292</v>
      </c>
      <c r="F34" s="489" t="s">
        <v>306</v>
      </c>
      <c r="G34" s="64">
        <v>898</v>
      </c>
      <c r="H34" s="522">
        <f t="shared" si="6"/>
        <v>2568.2799999999997</v>
      </c>
      <c r="I34" s="420"/>
      <c r="J34" s="57">
        <v>50</v>
      </c>
      <c r="K34" s="448">
        <f t="shared" si="7"/>
        <v>143</v>
      </c>
    </row>
    <row r="35" spans="4:12" ht="15" x14ac:dyDescent="0.25">
      <c r="D35" s="70">
        <v>9</v>
      </c>
      <c r="E35" s="417" t="s">
        <v>293</v>
      </c>
      <c r="F35" s="489" t="s">
        <v>306</v>
      </c>
      <c r="G35" s="64">
        <v>2568</v>
      </c>
      <c r="H35" s="522">
        <f t="shared" si="6"/>
        <v>7344.48</v>
      </c>
      <c r="I35" s="420"/>
      <c r="J35" s="57">
        <v>90</v>
      </c>
      <c r="K35" s="448">
        <f t="shared" si="7"/>
        <v>257.39999999999998</v>
      </c>
    </row>
    <row r="36" spans="4:12" ht="15" x14ac:dyDescent="0.25">
      <c r="D36" s="70">
        <v>10</v>
      </c>
      <c r="E36" s="417" t="s">
        <v>294</v>
      </c>
      <c r="F36" s="489" t="s">
        <v>306</v>
      </c>
      <c r="G36" s="64">
        <v>8261</v>
      </c>
      <c r="H36" s="522">
        <f t="shared" si="6"/>
        <v>23626.46</v>
      </c>
      <c r="I36" s="420"/>
      <c r="J36" s="57">
        <v>73</v>
      </c>
      <c r="K36" s="448">
        <f t="shared" si="7"/>
        <v>208.78</v>
      </c>
    </row>
    <row r="37" spans="4:12" ht="15" x14ac:dyDescent="0.25">
      <c r="D37" s="70">
        <v>11</v>
      </c>
      <c r="E37" s="417" t="s">
        <v>295</v>
      </c>
      <c r="F37" s="489" t="s">
        <v>306</v>
      </c>
      <c r="G37" s="64">
        <v>7000</v>
      </c>
      <c r="H37" s="522">
        <f t="shared" si="6"/>
        <v>20020</v>
      </c>
      <c r="I37" s="420"/>
      <c r="J37" s="105">
        <v>454</v>
      </c>
      <c r="K37" s="448">
        <f t="shared" si="7"/>
        <v>1298.44</v>
      </c>
    </row>
    <row r="38" spans="4:12" ht="15" x14ac:dyDescent="0.25">
      <c r="D38" s="70">
        <v>12</v>
      </c>
      <c r="E38" s="417" t="s">
        <v>296</v>
      </c>
      <c r="F38" s="489" t="s">
        <v>306</v>
      </c>
      <c r="G38" s="64">
        <v>4000</v>
      </c>
      <c r="H38" s="522">
        <f t="shared" si="6"/>
        <v>11440</v>
      </c>
      <c r="I38" s="420"/>
      <c r="J38" s="105"/>
      <c r="K38" s="448">
        <f t="shared" si="7"/>
        <v>0</v>
      </c>
      <c r="L38" s="625"/>
    </row>
    <row r="39" spans="4:12" ht="15" x14ac:dyDescent="0.25">
      <c r="D39" s="70">
        <v>13</v>
      </c>
      <c r="E39" s="417" t="s">
        <v>297</v>
      </c>
      <c r="F39" s="489" t="s">
        <v>306</v>
      </c>
      <c r="G39" s="64">
        <v>6000</v>
      </c>
      <c r="H39" s="522">
        <f t="shared" si="6"/>
        <v>17160</v>
      </c>
      <c r="I39" s="420"/>
      <c r="J39" s="57">
        <v>1207.5999999999999</v>
      </c>
      <c r="K39" s="448">
        <f t="shared" si="7"/>
        <v>3453.7359999999994</v>
      </c>
    </row>
    <row r="40" spans="4:12" ht="15" x14ac:dyDescent="0.25">
      <c r="D40" s="61">
        <v>14</v>
      </c>
      <c r="E40" s="77" t="s">
        <v>298</v>
      </c>
      <c r="F40" s="489" t="s">
        <v>17</v>
      </c>
      <c r="G40" s="420">
        <v>5000</v>
      </c>
      <c r="H40" s="522">
        <f t="shared" si="6"/>
        <v>14300</v>
      </c>
      <c r="I40" s="420"/>
      <c r="J40" s="35"/>
      <c r="K40" s="448">
        <f t="shared" si="7"/>
        <v>0</v>
      </c>
      <c r="L40" s="625"/>
    </row>
    <row r="41" spans="4:12" ht="15" x14ac:dyDescent="0.25">
      <c r="D41" s="61">
        <v>15</v>
      </c>
      <c r="E41" s="77" t="s">
        <v>299</v>
      </c>
      <c r="F41" s="489" t="s">
        <v>139</v>
      </c>
      <c r="G41" s="3">
        <v>10000</v>
      </c>
      <c r="H41" s="522">
        <f t="shared" si="6"/>
        <v>28600</v>
      </c>
      <c r="I41" s="420"/>
      <c r="J41" s="35"/>
      <c r="K41" s="448">
        <f t="shared" si="7"/>
        <v>0</v>
      </c>
      <c r="L41" s="625"/>
    </row>
    <row r="42" spans="4:12" ht="15" x14ac:dyDescent="0.25">
      <c r="D42" s="61">
        <v>16</v>
      </c>
      <c r="E42" s="77" t="s">
        <v>34</v>
      </c>
      <c r="F42" s="489" t="s">
        <v>34</v>
      </c>
      <c r="G42" s="3">
        <v>9000</v>
      </c>
      <c r="H42" s="522">
        <f t="shared" si="6"/>
        <v>25740</v>
      </c>
      <c r="I42" s="420"/>
      <c r="J42" s="35">
        <v>725</v>
      </c>
      <c r="K42" s="448">
        <f t="shared" si="7"/>
        <v>2073.5</v>
      </c>
      <c r="L42" s="61"/>
    </row>
    <row r="43" spans="4:12" ht="15" x14ac:dyDescent="0.25">
      <c r="D43" s="61">
        <v>17</v>
      </c>
      <c r="E43" s="77" t="s">
        <v>39</v>
      </c>
      <c r="F43" s="489" t="s">
        <v>39</v>
      </c>
      <c r="G43" s="3">
        <v>30000</v>
      </c>
      <c r="H43" s="522">
        <f t="shared" si="6"/>
        <v>85800</v>
      </c>
      <c r="I43" s="420"/>
      <c r="J43" s="35">
        <v>399</v>
      </c>
      <c r="K43" s="448">
        <f t="shared" si="7"/>
        <v>1141.1399999999999</v>
      </c>
      <c r="L43" s="61"/>
    </row>
    <row r="44" spans="4:12" s="437" customFormat="1" ht="15" x14ac:dyDescent="0.25">
      <c r="D44" s="447">
        <v>18</v>
      </c>
      <c r="E44" s="77" t="s">
        <v>302</v>
      </c>
      <c r="F44" s="489" t="s">
        <v>65</v>
      </c>
      <c r="G44" s="379">
        <v>20280</v>
      </c>
      <c r="H44" s="522">
        <f t="shared" si="6"/>
        <v>58000.799999999996</v>
      </c>
      <c r="I44" s="420"/>
      <c r="J44" s="68"/>
      <c r="K44" s="448">
        <f t="shared" si="7"/>
        <v>0</v>
      </c>
      <c r="L44" s="625"/>
    </row>
    <row r="45" spans="4:12" s="489" customFormat="1" ht="15" x14ac:dyDescent="0.25">
      <c r="D45" s="491">
        <v>19</v>
      </c>
      <c r="E45" s="77" t="s">
        <v>41</v>
      </c>
      <c r="F45" s="489" t="s">
        <v>41</v>
      </c>
      <c r="G45" s="379">
        <v>20000</v>
      </c>
      <c r="H45" s="522">
        <f t="shared" si="6"/>
        <v>57200</v>
      </c>
      <c r="I45" s="420"/>
      <c r="J45" s="68">
        <v>760</v>
      </c>
      <c r="K45" s="448">
        <f t="shared" si="7"/>
        <v>2173.6</v>
      </c>
    </row>
    <row r="46" spans="4:12" s="489" customFormat="1" ht="15" x14ac:dyDescent="0.25">
      <c r="D46" s="491">
        <v>20</v>
      </c>
      <c r="E46" s="77" t="s">
        <v>308</v>
      </c>
      <c r="F46" s="489" t="s">
        <v>64</v>
      </c>
      <c r="G46" s="379">
        <f>20%*SUM(G27:G45)</f>
        <v>30912.800000000003</v>
      </c>
      <c r="H46" s="522">
        <f t="shared" si="6"/>
        <v>88410.608000000007</v>
      </c>
      <c r="I46" s="420"/>
      <c r="J46" s="68"/>
      <c r="K46" s="448">
        <f t="shared" si="7"/>
        <v>0</v>
      </c>
      <c r="L46" s="625"/>
    </row>
    <row r="47" spans="4:12" s="489" customFormat="1" ht="15" x14ac:dyDescent="0.25">
      <c r="D47" s="491">
        <v>21</v>
      </c>
      <c r="E47" s="77" t="s">
        <v>43</v>
      </c>
      <c r="F47" s="489" t="s">
        <v>43</v>
      </c>
      <c r="G47" s="379">
        <f>80000*1.1</f>
        <v>88000</v>
      </c>
      <c r="H47" s="522">
        <f>G47</f>
        <v>88000</v>
      </c>
      <c r="I47" s="420"/>
      <c r="J47" s="68"/>
      <c r="K47" s="448">
        <f t="shared" si="7"/>
        <v>0</v>
      </c>
      <c r="L47" s="625"/>
    </row>
    <row r="48" spans="4:12" s="489" customFormat="1" ht="15" x14ac:dyDescent="0.25">
      <c r="D48" s="491">
        <v>22</v>
      </c>
      <c r="E48" s="77" t="s">
        <v>444</v>
      </c>
      <c r="F48" s="489" t="s">
        <v>62</v>
      </c>
      <c r="G48" s="379">
        <v>5000</v>
      </c>
      <c r="H48" s="522">
        <v>5000</v>
      </c>
      <c r="I48" s="420"/>
      <c r="J48" s="68"/>
      <c r="K48" s="448">
        <f t="shared" si="7"/>
        <v>0</v>
      </c>
      <c r="L48" s="625"/>
    </row>
    <row r="49" spans="2:15" s="489" customFormat="1" ht="15" x14ac:dyDescent="0.25">
      <c r="D49" s="491"/>
      <c r="E49" s="77"/>
      <c r="G49" s="379"/>
      <c r="H49" s="522"/>
      <c r="I49" s="420"/>
      <c r="J49" s="68"/>
      <c r="K49" s="448"/>
    </row>
    <row r="50" spans="2:15" s="489" customFormat="1" ht="15" x14ac:dyDescent="0.25">
      <c r="D50" s="78" t="s">
        <v>84</v>
      </c>
      <c r="E50" s="102"/>
      <c r="F50" s="298"/>
      <c r="G50" s="523">
        <f>SUM(G27:G45)</f>
        <v>154564</v>
      </c>
      <c r="H50" s="523">
        <f>SUM(H27:H45)</f>
        <v>442053.04</v>
      </c>
      <c r="I50" s="420"/>
      <c r="J50" s="68"/>
      <c r="K50" s="448"/>
    </row>
    <row r="51" spans="2:15" x14ac:dyDescent="0.3">
      <c r="F51" s="41"/>
      <c r="G51" s="43"/>
      <c r="K51" s="448"/>
    </row>
    <row r="52" spans="2:15" x14ac:dyDescent="0.3">
      <c r="B52" s="59" t="s">
        <v>304</v>
      </c>
      <c r="C52" s="59"/>
      <c r="G52" s="420"/>
      <c r="K52" s="448"/>
    </row>
    <row r="53" spans="2:15" x14ac:dyDescent="0.3">
      <c r="F53" s="41"/>
      <c r="G53" s="43"/>
      <c r="K53" s="448"/>
    </row>
    <row r="54" spans="2:15" x14ac:dyDescent="0.3">
      <c r="E54" s="59" t="s">
        <v>83</v>
      </c>
      <c r="F54" s="59" t="s">
        <v>114</v>
      </c>
      <c r="G54" s="59" t="s">
        <v>307</v>
      </c>
      <c r="H54" s="59" t="s">
        <v>309</v>
      </c>
      <c r="I54" s="59"/>
      <c r="J54" s="611" t="s">
        <v>460</v>
      </c>
      <c r="K54" s="611" t="s">
        <v>461</v>
      </c>
      <c r="L54" s="307"/>
      <c r="M54" s="313"/>
      <c r="N54" s="312"/>
    </row>
    <row r="55" spans="2:15" x14ac:dyDescent="0.3">
      <c r="D55" s="70">
        <v>1</v>
      </c>
      <c r="E55" s="417" t="s">
        <v>287</v>
      </c>
      <c r="F55" s="70" t="s">
        <v>306</v>
      </c>
      <c r="G55" s="413">
        <v>8500</v>
      </c>
      <c r="H55" s="521">
        <f>G55*2.86</f>
        <v>24310</v>
      </c>
      <c r="I55" s="64"/>
      <c r="J55" s="448">
        <f>2000/2.205</f>
        <v>907.02947845804988</v>
      </c>
      <c r="K55" s="448">
        <f t="shared" si="7"/>
        <v>2594.1043083900227</v>
      </c>
      <c r="L55" s="314"/>
      <c r="N55" s="311"/>
      <c r="O55" s="311"/>
    </row>
    <row r="56" spans="2:15" x14ac:dyDescent="0.3">
      <c r="D56" s="70">
        <v>2</v>
      </c>
      <c r="E56" s="417" t="s">
        <v>303</v>
      </c>
      <c r="F56" s="70" t="s">
        <v>306</v>
      </c>
      <c r="G56" s="413">
        <v>328</v>
      </c>
      <c r="H56" s="521">
        <f t="shared" ref="H56:H70" si="8">G56*2.86</f>
        <v>938.07999999999993</v>
      </c>
      <c r="I56" s="64"/>
      <c r="J56" s="448"/>
      <c r="K56" s="448">
        <f t="shared" si="7"/>
        <v>0</v>
      </c>
      <c r="L56" s="314"/>
      <c r="N56" s="311"/>
      <c r="O56" s="311"/>
    </row>
    <row r="57" spans="2:15" x14ac:dyDescent="0.3">
      <c r="D57" s="70">
        <v>3</v>
      </c>
      <c r="E57" s="417" t="s">
        <v>288</v>
      </c>
      <c r="F57" s="70" t="s">
        <v>306</v>
      </c>
      <c r="G57" s="413">
        <v>97</v>
      </c>
      <c r="H57" s="521">
        <f t="shared" si="8"/>
        <v>277.42</v>
      </c>
      <c r="I57" s="64"/>
      <c r="J57" s="448"/>
      <c r="K57" s="448">
        <f t="shared" si="7"/>
        <v>0</v>
      </c>
      <c r="L57" s="314"/>
      <c r="N57" s="311"/>
      <c r="O57" s="311"/>
    </row>
    <row r="58" spans="2:15" x14ac:dyDescent="0.3">
      <c r="D58" s="70">
        <v>4</v>
      </c>
      <c r="E58" s="417" t="s">
        <v>301</v>
      </c>
      <c r="F58" s="70" t="s">
        <v>306</v>
      </c>
      <c r="G58" s="413">
        <v>168</v>
      </c>
      <c r="H58" s="521">
        <f t="shared" si="8"/>
        <v>480.47999999999996</v>
      </c>
      <c r="I58" s="64"/>
      <c r="J58" s="448"/>
      <c r="K58" s="448">
        <f t="shared" si="7"/>
        <v>0</v>
      </c>
      <c r="L58" s="314"/>
      <c r="N58" s="311"/>
      <c r="O58" s="311"/>
    </row>
    <row r="59" spans="2:15" x14ac:dyDescent="0.3">
      <c r="D59" s="70">
        <v>5</v>
      </c>
      <c r="E59" s="417" t="s">
        <v>300</v>
      </c>
      <c r="F59" s="70" t="s">
        <v>306</v>
      </c>
      <c r="G59" s="413">
        <v>758</v>
      </c>
      <c r="H59" s="521">
        <f t="shared" si="8"/>
        <v>2167.88</v>
      </c>
      <c r="I59" s="64"/>
      <c r="J59" s="448"/>
      <c r="K59" s="448">
        <f t="shared" si="7"/>
        <v>0</v>
      </c>
      <c r="L59" s="314"/>
      <c r="N59" s="311"/>
      <c r="O59" s="311"/>
    </row>
    <row r="60" spans="2:15" ht="15" customHeight="1" x14ac:dyDescent="0.3">
      <c r="D60" s="75">
        <v>6</v>
      </c>
      <c r="E60" s="417" t="s">
        <v>290</v>
      </c>
      <c r="F60" s="75" t="s">
        <v>306</v>
      </c>
      <c r="G60" s="413">
        <v>662</v>
      </c>
      <c r="H60" s="521">
        <f t="shared" si="8"/>
        <v>1893.32</v>
      </c>
      <c r="I60" s="64"/>
      <c r="J60" s="448"/>
      <c r="K60" s="448">
        <f t="shared" si="7"/>
        <v>0</v>
      </c>
      <c r="L60" s="314"/>
      <c r="N60" s="311"/>
      <c r="O60" s="311"/>
    </row>
    <row r="61" spans="2:15" ht="15" customHeight="1" x14ac:dyDescent="0.3">
      <c r="D61" s="70">
        <v>7</v>
      </c>
      <c r="E61" s="417" t="s">
        <v>291</v>
      </c>
      <c r="F61" s="70" t="s">
        <v>305</v>
      </c>
      <c r="G61" s="413">
        <v>8200</v>
      </c>
      <c r="H61" s="521">
        <f t="shared" si="8"/>
        <v>23452</v>
      </c>
      <c r="I61" s="64"/>
      <c r="J61" s="448">
        <v>452</v>
      </c>
      <c r="K61" s="448">
        <f t="shared" si="7"/>
        <v>1292.72</v>
      </c>
      <c r="L61" s="314"/>
      <c r="N61" s="311"/>
      <c r="O61" s="311"/>
    </row>
    <row r="62" spans="2:15" ht="15" customHeight="1" x14ac:dyDescent="0.3">
      <c r="D62" s="75">
        <v>8</v>
      </c>
      <c r="E62" s="417" t="s">
        <v>292</v>
      </c>
      <c r="F62" s="75" t="s">
        <v>306</v>
      </c>
      <c r="G62" s="413">
        <v>846</v>
      </c>
      <c r="H62" s="521">
        <f t="shared" si="8"/>
        <v>2419.56</v>
      </c>
      <c r="I62" s="64"/>
      <c r="J62" s="448">
        <v>50</v>
      </c>
      <c r="K62" s="448">
        <f t="shared" si="7"/>
        <v>143</v>
      </c>
      <c r="L62" s="314"/>
      <c r="N62" s="311"/>
      <c r="O62" s="311"/>
    </row>
    <row r="63" spans="2:15" x14ac:dyDescent="0.3">
      <c r="D63" s="70">
        <v>9</v>
      </c>
      <c r="E63" s="417" t="s">
        <v>293</v>
      </c>
      <c r="F63" s="70" t="s">
        <v>306</v>
      </c>
      <c r="G63" s="413">
        <v>2417</v>
      </c>
      <c r="H63" s="521">
        <f t="shared" si="8"/>
        <v>6912.62</v>
      </c>
      <c r="I63" s="64"/>
      <c r="J63" s="448">
        <v>90</v>
      </c>
      <c r="K63" s="448">
        <f t="shared" si="7"/>
        <v>257.39999999999998</v>
      </c>
      <c r="L63" s="314"/>
      <c r="N63" s="311"/>
      <c r="O63" s="311"/>
    </row>
    <row r="64" spans="2:15" x14ac:dyDescent="0.3">
      <c r="D64" s="70">
        <v>10</v>
      </c>
      <c r="E64" s="417" t="s">
        <v>294</v>
      </c>
      <c r="F64" s="70" t="s">
        <v>306</v>
      </c>
      <c r="G64" s="413">
        <v>6255</v>
      </c>
      <c r="H64" s="521">
        <f t="shared" si="8"/>
        <v>17889.3</v>
      </c>
      <c r="I64" s="64"/>
      <c r="J64" s="448">
        <v>73</v>
      </c>
      <c r="K64" s="448">
        <f t="shared" si="7"/>
        <v>208.78</v>
      </c>
      <c r="L64" s="314"/>
      <c r="N64" s="311"/>
      <c r="O64" s="311"/>
    </row>
    <row r="65" spans="1:15" x14ac:dyDescent="0.3">
      <c r="D65" s="70">
        <v>11</v>
      </c>
      <c r="E65" s="417" t="s">
        <v>295</v>
      </c>
      <c r="F65" s="70" t="s">
        <v>306</v>
      </c>
      <c r="G65" s="413">
        <v>6500</v>
      </c>
      <c r="H65" s="521">
        <f t="shared" si="8"/>
        <v>18590</v>
      </c>
      <c r="I65" s="64"/>
      <c r="J65" s="105">
        <v>454</v>
      </c>
      <c r="K65" s="448">
        <f t="shared" si="7"/>
        <v>1298.44</v>
      </c>
      <c r="L65" s="314"/>
      <c r="N65" s="311"/>
      <c r="O65" s="311"/>
    </row>
    <row r="66" spans="1:15" x14ac:dyDescent="0.3">
      <c r="D66" s="70">
        <v>12</v>
      </c>
      <c r="E66" s="417" t="s">
        <v>296</v>
      </c>
      <c r="F66" s="70" t="s">
        <v>306</v>
      </c>
      <c r="G66" s="413">
        <v>2200</v>
      </c>
      <c r="H66" s="521">
        <f t="shared" si="8"/>
        <v>6292</v>
      </c>
      <c r="I66" s="64"/>
      <c r="J66" s="105"/>
      <c r="K66" s="448">
        <f t="shared" si="7"/>
        <v>0</v>
      </c>
      <c r="L66" s="314"/>
      <c r="N66" s="311"/>
      <c r="O66" s="311"/>
    </row>
    <row r="67" spans="1:15" ht="16.5" customHeight="1" x14ac:dyDescent="0.3">
      <c r="D67" s="70">
        <v>13</v>
      </c>
      <c r="E67" s="417" t="s">
        <v>297</v>
      </c>
      <c r="F67" s="61" t="s">
        <v>306</v>
      </c>
      <c r="G67" s="413">
        <v>4750</v>
      </c>
      <c r="H67" s="521">
        <f t="shared" si="8"/>
        <v>13585</v>
      </c>
      <c r="I67" s="64"/>
      <c r="J67" s="448">
        <v>1207.5999999999999</v>
      </c>
      <c r="K67" s="448">
        <f t="shared" si="7"/>
        <v>3453.7359999999994</v>
      </c>
      <c r="L67" s="314"/>
      <c r="N67" s="311"/>
      <c r="O67" s="311"/>
    </row>
    <row r="68" spans="1:15" ht="18" customHeight="1" x14ac:dyDescent="0.3">
      <c r="D68" s="70">
        <v>14</v>
      </c>
      <c r="E68" s="77" t="s">
        <v>298</v>
      </c>
      <c r="F68" s="61" t="s">
        <v>17</v>
      </c>
      <c r="G68" s="413">
        <v>1000</v>
      </c>
      <c r="H68" s="521">
        <f t="shared" si="8"/>
        <v>2860</v>
      </c>
      <c r="I68" s="64"/>
      <c r="J68" s="35"/>
      <c r="K68" s="448">
        <f t="shared" si="7"/>
        <v>0</v>
      </c>
      <c r="L68" s="314"/>
      <c r="N68" s="311"/>
      <c r="O68" s="311"/>
    </row>
    <row r="69" spans="1:15" x14ac:dyDescent="0.3">
      <c r="D69" s="70">
        <v>15</v>
      </c>
      <c r="E69" s="77" t="s">
        <v>299</v>
      </c>
      <c r="F69" s="70" t="s">
        <v>139</v>
      </c>
      <c r="G69" s="413">
        <v>2000</v>
      </c>
      <c r="H69" s="521">
        <f t="shared" si="8"/>
        <v>5720</v>
      </c>
      <c r="I69" s="64"/>
      <c r="J69" s="35"/>
      <c r="K69" s="448">
        <f t="shared" si="7"/>
        <v>0</v>
      </c>
      <c r="L69" s="314"/>
      <c r="N69" s="311"/>
      <c r="O69" s="311"/>
    </row>
    <row r="70" spans="1:15" x14ac:dyDescent="0.3">
      <c r="D70" s="70">
        <v>16</v>
      </c>
      <c r="E70" s="77" t="s">
        <v>34</v>
      </c>
      <c r="F70" s="70" t="s">
        <v>34</v>
      </c>
      <c r="G70" s="413">
        <v>7006</v>
      </c>
      <c r="H70" s="521">
        <f t="shared" si="8"/>
        <v>20037.16</v>
      </c>
      <c r="I70" s="64"/>
      <c r="J70" s="35">
        <v>725</v>
      </c>
      <c r="K70" s="448">
        <f t="shared" si="7"/>
        <v>2073.5</v>
      </c>
      <c r="L70" s="314"/>
      <c r="N70" s="311"/>
      <c r="O70" s="311"/>
    </row>
    <row r="71" spans="1:15" s="489" customFormat="1" x14ac:dyDescent="0.3">
      <c r="D71" s="489">
        <v>17</v>
      </c>
      <c r="E71" s="77" t="s">
        <v>39</v>
      </c>
      <c r="F71" s="489" t="s">
        <v>39</v>
      </c>
      <c r="G71" s="413">
        <f>G42*75%</f>
        <v>6750</v>
      </c>
      <c r="H71" s="413">
        <f>H42*75%</f>
        <v>19305</v>
      </c>
      <c r="I71" s="420"/>
      <c r="J71" s="35">
        <v>399</v>
      </c>
      <c r="K71" s="448">
        <f t="shared" si="7"/>
        <v>1141.1399999999999</v>
      </c>
      <c r="L71" s="420"/>
    </row>
    <row r="72" spans="1:15" s="489" customFormat="1" x14ac:dyDescent="0.3">
      <c r="D72" s="489">
        <v>18</v>
      </c>
      <c r="E72" s="77" t="s">
        <v>302</v>
      </c>
      <c r="F72" s="489" t="s">
        <v>65</v>
      </c>
      <c r="G72" s="413">
        <f t="shared" ref="G72:H74" si="9">G44*75%</f>
        <v>15210</v>
      </c>
      <c r="H72" s="413">
        <f t="shared" si="9"/>
        <v>43500.6</v>
      </c>
      <c r="I72" s="420"/>
      <c r="J72" s="68"/>
      <c r="K72" s="448">
        <f t="shared" si="7"/>
        <v>0</v>
      </c>
      <c r="L72" s="420"/>
    </row>
    <row r="73" spans="1:15" s="489" customFormat="1" x14ac:dyDescent="0.3">
      <c r="D73" s="491">
        <v>19</v>
      </c>
      <c r="E73" s="77" t="s">
        <v>41</v>
      </c>
      <c r="F73" s="489" t="s">
        <v>41</v>
      </c>
      <c r="G73" s="413">
        <f t="shared" si="9"/>
        <v>15000</v>
      </c>
      <c r="H73" s="413">
        <f t="shared" si="9"/>
        <v>42900</v>
      </c>
      <c r="I73" s="420"/>
      <c r="J73" s="68">
        <v>760</v>
      </c>
      <c r="K73" s="448">
        <f t="shared" si="7"/>
        <v>2173.6</v>
      </c>
      <c r="L73" s="420"/>
    </row>
    <row r="74" spans="1:15" s="489" customFormat="1" x14ac:dyDescent="0.3">
      <c r="D74" s="491">
        <v>20</v>
      </c>
      <c r="E74" s="77" t="s">
        <v>308</v>
      </c>
      <c r="F74" s="489" t="s">
        <v>64</v>
      </c>
      <c r="G74" s="413">
        <f t="shared" si="9"/>
        <v>23184.600000000002</v>
      </c>
      <c r="H74" s="413">
        <f t="shared" si="9"/>
        <v>66307.956000000006</v>
      </c>
      <c r="I74" s="420"/>
      <c r="J74" s="68"/>
      <c r="K74" s="448">
        <f t="shared" si="7"/>
        <v>0</v>
      </c>
      <c r="L74" s="420"/>
    </row>
    <row r="75" spans="1:15" s="489" customFormat="1" x14ac:dyDescent="0.3">
      <c r="D75" s="491">
        <v>21</v>
      </c>
      <c r="E75" s="77" t="s">
        <v>43</v>
      </c>
      <c r="F75" s="489" t="s">
        <v>43</v>
      </c>
      <c r="G75" s="413">
        <f>H47</f>
        <v>88000</v>
      </c>
      <c r="H75" s="522">
        <f>G75</f>
        <v>88000</v>
      </c>
      <c r="I75" s="420"/>
      <c r="J75" s="68"/>
      <c r="K75" s="448">
        <f t="shared" si="7"/>
        <v>0</v>
      </c>
      <c r="L75" s="420"/>
    </row>
    <row r="76" spans="1:15" s="489" customFormat="1" x14ac:dyDescent="0.3">
      <c r="D76" s="491">
        <v>22</v>
      </c>
      <c r="E76" s="77" t="s">
        <v>444</v>
      </c>
      <c r="F76" s="489" t="s">
        <v>62</v>
      </c>
      <c r="G76" s="413">
        <v>5000</v>
      </c>
      <c r="H76" s="522">
        <f>G76</f>
        <v>5000</v>
      </c>
      <c r="I76" s="420"/>
      <c r="J76" s="68"/>
      <c r="K76" s="448">
        <f t="shared" si="7"/>
        <v>0</v>
      </c>
      <c r="L76" s="420"/>
    </row>
    <row r="77" spans="1:15" x14ac:dyDescent="0.3">
      <c r="G77" s="64"/>
      <c r="H77" s="69"/>
      <c r="I77" s="3"/>
      <c r="J77" s="68"/>
      <c r="K77" s="308"/>
      <c r="L77" s="308"/>
    </row>
    <row r="78" spans="1:15" s="320" customFormat="1" x14ac:dyDescent="0.3">
      <c r="D78" s="298" t="s">
        <v>84</v>
      </c>
      <c r="E78" s="298"/>
      <c r="F78" s="298"/>
      <c r="G78" s="97">
        <f>SUM(G55:G76)</f>
        <v>204831.6</v>
      </c>
      <c r="H78" s="97">
        <f>SUM(H55:H76)</f>
        <v>412838.37600000005</v>
      </c>
      <c r="I78" s="321"/>
      <c r="J78" s="68"/>
      <c r="K78" s="321"/>
      <c r="L78" s="321"/>
    </row>
    <row r="79" spans="1:15" s="489" customFormat="1" x14ac:dyDescent="0.3">
      <c r="G79" s="420"/>
      <c r="H79" s="440"/>
      <c r="I79" s="379"/>
      <c r="J79" s="68"/>
      <c r="K79" s="379"/>
      <c r="L79" s="379"/>
    </row>
    <row r="80" spans="1:15" s="263" customFormat="1" x14ac:dyDescent="0.3">
      <c r="A80" s="183" t="s">
        <v>225</v>
      </c>
      <c r="E80" s="64"/>
      <c r="F80" s="69"/>
      <c r="G80" s="172"/>
      <c r="H80" s="68"/>
      <c r="I80" s="21"/>
    </row>
    <row r="81" spans="1:9" s="315" customFormat="1" x14ac:dyDescent="0.3">
      <c r="A81" s="318"/>
      <c r="B81" s="320" t="s">
        <v>433</v>
      </c>
      <c r="E81" s="317"/>
      <c r="F81" s="69"/>
      <c r="G81" s="316"/>
      <c r="H81" s="68"/>
      <c r="I81" s="319"/>
    </row>
    <row r="82" spans="1:9" s="315" customFormat="1" x14ac:dyDescent="0.3">
      <c r="A82" s="318"/>
      <c r="B82" s="620" t="s">
        <v>465</v>
      </c>
      <c r="E82" s="317"/>
      <c r="F82" s="69"/>
      <c r="G82" s="316"/>
      <c r="H82" s="68"/>
      <c r="I82" s="319"/>
    </row>
    <row r="83" spans="1:9" s="315" customFormat="1" x14ac:dyDescent="0.3">
      <c r="B83" s="320"/>
      <c r="E83" s="317"/>
      <c r="F83" s="69"/>
      <c r="G83" s="316"/>
      <c r="H83" s="68"/>
      <c r="I83" s="319"/>
    </row>
    <row r="84" spans="1:9" s="315" customFormat="1" x14ac:dyDescent="0.3">
      <c r="A84" s="318" t="s">
        <v>466</v>
      </c>
      <c r="B84" s="320"/>
      <c r="E84" s="317"/>
      <c r="F84" s="69"/>
      <c r="G84" s="316"/>
      <c r="H84" s="68"/>
      <c r="I84" s="319"/>
    </row>
    <row r="85" spans="1:9" s="619" customFormat="1" x14ac:dyDescent="0.3">
      <c r="A85" s="611"/>
      <c r="B85" s="619">
        <v>1</v>
      </c>
      <c r="D85" s="619" t="s">
        <v>446</v>
      </c>
      <c r="E85" s="420"/>
      <c r="F85" s="440"/>
      <c r="G85" s="379"/>
      <c r="H85" s="68"/>
      <c r="I85" s="324"/>
    </row>
    <row r="86" spans="1:9" s="619" customFormat="1" x14ac:dyDescent="0.3">
      <c r="A86" s="611"/>
      <c r="B86" s="619">
        <v>2</v>
      </c>
      <c r="D86" s="619" t="s">
        <v>463</v>
      </c>
      <c r="E86" s="420"/>
      <c r="F86" s="440"/>
      <c r="G86" s="379"/>
      <c r="H86" s="68"/>
      <c r="I86" s="324"/>
    </row>
    <row r="87" spans="1:9" s="619" customFormat="1" x14ac:dyDescent="0.3">
      <c r="A87" s="611"/>
      <c r="B87" s="619">
        <v>3</v>
      </c>
      <c r="D87" s="619" t="s">
        <v>463</v>
      </c>
      <c r="E87" s="420"/>
      <c r="F87" s="440"/>
      <c r="G87" s="379"/>
      <c r="H87" s="68"/>
      <c r="I87" s="324"/>
    </row>
    <row r="88" spans="1:9" s="619" customFormat="1" x14ac:dyDescent="0.3">
      <c r="A88" s="611"/>
      <c r="B88" s="619">
        <v>4</v>
      </c>
      <c r="D88" s="619" t="s">
        <v>463</v>
      </c>
      <c r="E88" s="420"/>
      <c r="F88" s="440"/>
      <c r="G88" s="379"/>
      <c r="H88" s="68"/>
      <c r="I88" s="324"/>
    </row>
    <row r="89" spans="1:9" s="619" customFormat="1" x14ac:dyDescent="0.3">
      <c r="A89" s="611"/>
      <c r="B89" s="619">
        <v>5</v>
      </c>
      <c r="D89" s="619" t="s">
        <v>463</v>
      </c>
      <c r="E89" s="420"/>
      <c r="F89" s="440"/>
      <c r="G89" s="379"/>
      <c r="H89" s="68"/>
      <c r="I89" s="324"/>
    </row>
    <row r="90" spans="1:9" s="619" customFormat="1" x14ac:dyDescent="0.3">
      <c r="A90" s="611"/>
      <c r="B90" s="619">
        <v>6</v>
      </c>
      <c r="D90" s="619" t="s">
        <v>463</v>
      </c>
      <c r="E90" s="420"/>
      <c r="F90" s="440"/>
      <c r="G90" s="379"/>
      <c r="H90" s="68"/>
      <c r="I90" s="324"/>
    </row>
    <row r="91" spans="1:9" s="619" customFormat="1" x14ac:dyDescent="0.3">
      <c r="A91" s="611"/>
      <c r="B91" s="619">
        <v>7</v>
      </c>
      <c r="D91" s="619" t="s">
        <v>463</v>
      </c>
      <c r="E91" s="420"/>
      <c r="F91" s="440"/>
      <c r="G91" s="379"/>
      <c r="H91" s="68"/>
      <c r="I91" s="324"/>
    </row>
    <row r="92" spans="1:9" s="619" customFormat="1" x14ac:dyDescent="0.3">
      <c r="A92" s="611"/>
      <c r="B92" s="619">
        <v>8</v>
      </c>
      <c r="D92" s="619" t="s">
        <v>463</v>
      </c>
      <c r="E92" s="420"/>
      <c r="F92" s="440"/>
      <c r="G92" s="379"/>
      <c r="H92" s="68"/>
      <c r="I92" s="324"/>
    </row>
    <row r="93" spans="1:9" s="619" customFormat="1" x14ac:dyDescent="0.3">
      <c r="A93" s="611"/>
      <c r="B93" s="619">
        <v>9</v>
      </c>
      <c r="D93" s="619" t="s">
        <v>463</v>
      </c>
      <c r="E93" s="420"/>
      <c r="F93" s="440"/>
      <c r="G93" s="379"/>
      <c r="H93" s="68"/>
      <c r="I93" s="324"/>
    </row>
    <row r="94" spans="1:9" s="619" customFormat="1" x14ac:dyDescent="0.3">
      <c r="A94" s="611"/>
      <c r="B94" s="619">
        <v>10</v>
      </c>
      <c r="D94" s="619" t="s">
        <v>463</v>
      </c>
      <c r="E94" s="420"/>
      <c r="F94" s="440"/>
      <c r="G94" s="379"/>
      <c r="H94" s="68"/>
      <c r="I94" s="324"/>
    </row>
    <row r="95" spans="1:9" s="619" customFormat="1" x14ac:dyDescent="0.3">
      <c r="A95" s="611"/>
      <c r="B95" s="619">
        <v>11</v>
      </c>
      <c r="D95" s="619" t="s">
        <v>463</v>
      </c>
      <c r="E95" s="420"/>
      <c r="F95" s="440"/>
      <c r="G95" s="379"/>
      <c r="H95" s="68"/>
      <c r="I95" s="324"/>
    </row>
    <row r="96" spans="1:9" s="619" customFormat="1" x14ac:dyDescent="0.3">
      <c r="A96" s="611"/>
      <c r="B96" s="619">
        <v>12</v>
      </c>
      <c r="D96" s="619" t="s">
        <v>463</v>
      </c>
      <c r="E96" s="420"/>
      <c r="F96" s="440"/>
      <c r="G96" s="379"/>
      <c r="H96" s="68"/>
      <c r="I96" s="324"/>
    </row>
    <row r="97" spans="1:9" s="619" customFormat="1" x14ac:dyDescent="0.3">
      <c r="A97" s="611"/>
      <c r="B97" s="619">
        <v>13</v>
      </c>
      <c r="D97" s="619" t="s">
        <v>463</v>
      </c>
      <c r="E97" s="420"/>
      <c r="F97" s="440"/>
      <c r="G97" s="379"/>
      <c r="H97" s="68"/>
      <c r="I97" s="324"/>
    </row>
    <row r="98" spans="1:9" s="619" customFormat="1" x14ac:dyDescent="0.3">
      <c r="A98" s="611"/>
      <c r="B98" s="491">
        <v>14</v>
      </c>
      <c r="D98" s="619" t="s">
        <v>463</v>
      </c>
      <c r="E98" s="420"/>
      <c r="F98" s="440"/>
      <c r="G98" s="379"/>
      <c r="H98" s="68"/>
      <c r="I98" s="324"/>
    </row>
    <row r="99" spans="1:9" s="619" customFormat="1" x14ac:dyDescent="0.3">
      <c r="A99" s="611"/>
      <c r="B99" s="491">
        <v>15</v>
      </c>
      <c r="D99" s="619" t="s">
        <v>463</v>
      </c>
      <c r="E99" s="420"/>
      <c r="F99" s="440"/>
      <c r="G99" s="379"/>
      <c r="H99" s="68"/>
      <c r="I99" s="324"/>
    </row>
    <row r="100" spans="1:9" s="619" customFormat="1" x14ac:dyDescent="0.3">
      <c r="A100" s="611"/>
      <c r="B100" s="491">
        <v>16</v>
      </c>
      <c r="D100" s="491" t="s">
        <v>462</v>
      </c>
      <c r="E100" s="420"/>
      <c r="F100" s="440"/>
      <c r="G100" s="379"/>
      <c r="H100" s="68"/>
      <c r="I100" s="324"/>
    </row>
    <row r="101" spans="1:9" s="315" customFormat="1" x14ac:dyDescent="0.3">
      <c r="A101" s="318"/>
      <c r="B101" s="491">
        <v>17</v>
      </c>
      <c r="D101" s="491" t="s">
        <v>462</v>
      </c>
      <c r="E101" s="317"/>
      <c r="F101" s="69"/>
      <c r="G101" s="316"/>
      <c r="H101" s="68"/>
      <c r="I101" s="319"/>
    </row>
    <row r="102" spans="1:9" s="320" customFormat="1" x14ac:dyDescent="0.3">
      <c r="A102" s="323"/>
      <c r="B102" s="491">
        <v>18</v>
      </c>
      <c r="D102" s="619" t="s">
        <v>463</v>
      </c>
      <c r="E102" s="322"/>
      <c r="F102" s="69"/>
      <c r="G102" s="321"/>
      <c r="H102" s="68"/>
      <c r="I102" s="324"/>
    </row>
    <row r="103" spans="1:9" s="263" customFormat="1" x14ac:dyDescent="0.3">
      <c r="B103" s="491">
        <v>19</v>
      </c>
      <c r="C103" s="309"/>
      <c r="D103" s="619" t="s">
        <v>446</v>
      </c>
      <c r="E103" s="64"/>
      <c r="F103" s="69"/>
      <c r="G103" s="172"/>
      <c r="H103" s="68"/>
    </row>
    <row r="104" spans="1:9" s="263" customFormat="1" ht="15.6" x14ac:dyDescent="0.3">
      <c r="B104" s="491">
        <v>20</v>
      </c>
      <c r="C104" s="310"/>
      <c r="D104" s="619" t="s">
        <v>446</v>
      </c>
      <c r="E104" s="281"/>
      <c r="F104" s="282"/>
      <c r="G104" s="283"/>
      <c r="H104" s="284"/>
    </row>
    <row r="105" spans="1:9" s="263" customFormat="1" ht="15.6" x14ac:dyDescent="0.3">
      <c r="B105" s="491">
        <v>21</v>
      </c>
      <c r="D105" s="619" t="s">
        <v>446</v>
      </c>
      <c r="E105" s="281"/>
      <c r="F105" s="282"/>
      <c r="G105" s="283"/>
      <c r="H105" s="284"/>
    </row>
    <row r="106" spans="1:9" s="263" customFormat="1" ht="15.6" x14ac:dyDescent="0.3">
      <c r="B106" s="491">
        <v>22</v>
      </c>
      <c r="D106" s="619" t="s">
        <v>446</v>
      </c>
      <c r="E106" s="281"/>
      <c r="F106" s="282"/>
      <c r="G106" s="283"/>
      <c r="H106" s="284"/>
    </row>
    <row r="107" spans="1:9" s="619" customFormat="1" ht="15.6" x14ac:dyDescent="0.3">
      <c r="B107" s="491"/>
      <c r="D107" s="76"/>
      <c r="E107" s="281"/>
      <c r="F107" s="282"/>
      <c r="G107" s="283"/>
      <c r="H107" s="284"/>
    </row>
    <row r="108" spans="1:9" s="263" customFormat="1" ht="15.6" x14ac:dyDescent="0.3">
      <c r="A108" s="183" t="s">
        <v>226</v>
      </c>
      <c r="B108" s="76"/>
      <c r="D108" s="76"/>
      <c r="E108" s="281"/>
      <c r="F108" s="282"/>
      <c r="G108" s="283"/>
      <c r="H108" s="284"/>
    </row>
    <row r="109" spans="1:9" s="263" customFormat="1" ht="15.6" x14ac:dyDescent="0.3">
      <c r="A109" s="183"/>
      <c r="B109" s="620" t="s">
        <v>465</v>
      </c>
      <c r="F109" s="282"/>
      <c r="G109" s="283"/>
      <c r="H109" s="284"/>
    </row>
    <row r="110" spans="1:9" s="619" customFormat="1" ht="15.6" x14ac:dyDescent="0.3">
      <c r="A110" s="611"/>
      <c r="B110" s="619" t="s">
        <v>433</v>
      </c>
      <c r="F110" s="282"/>
      <c r="G110" s="283"/>
      <c r="H110" s="284"/>
    </row>
    <row r="111" spans="1:9" x14ac:dyDescent="0.3">
      <c r="B111" s="315"/>
    </row>
    <row r="112" spans="1:9" x14ac:dyDescent="0.3">
      <c r="A112" s="183" t="s">
        <v>464</v>
      </c>
      <c r="B112" s="315"/>
    </row>
    <row r="113" spans="2:5" ht="15.6" x14ac:dyDescent="0.3">
      <c r="B113" s="619">
        <v>1</v>
      </c>
      <c r="C113" s="263"/>
      <c r="D113" s="70" t="s">
        <v>463</v>
      </c>
      <c r="E113" s="281"/>
    </row>
    <row r="114" spans="2:5" ht="15.6" x14ac:dyDescent="0.3">
      <c r="B114" s="619">
        <v>2</v>
      </c>
      <c r="C114" s="263"/>
      <c r="D114" s="619" t="s">
        <v>463</v>
      </c>
      <c r="E114" s="281"/>
    </row>
    <row r="115" spans="2:5" ht="15.6" x14ac:dyDescent="0.3">
      <c r="B115" s="619">
        <v>3</v>
      </c>
      <c r="C115" s="263"/>
      <c r="D115" s="619" t="s">
        <v>463</v>
      </c>
      <c r="E115" s="281"/>
    </row>
    <row r="116" spans="2:5" ht="15.6" x14ac:dyDescent="0.3">
      <c r="B116" s="619">
        <v>4</v>
      </c>
      <c r="C116" s="263"/>
      <c r="D116" s="619" t="s">
        <v>463</v>
      </c>
      <c r="E116" s="281"/>
    </row>
    <row r="117" spans="2:5" ht="15.6" x14ac:dyDescent="0.3">
      <c r="B117" s="619">
        <v>5</v>
      </c>
      <c r="C117" s="263"/>
      <c r="D117" s="619" t="s">
        <v>463</v>
      </c>
      <c r="E117" s="281"/>
    </row>
    <row r="118" spans="2:5" ht="15.6" x14ac:dyDescent="0.3">
      <c r="B118" s="619">
        <v>6</v>
      </c>
      <c r="C118" s="263"/>
      <c r="D118" s="619" t="s">
        <v>463</v>
      </c>
      <c r="E118" s="281"/>
    </row>
    <row r="119" spans="2:5" ht="15.6" x14ac:dyDescent="0.3">
      <c r="B119" s="619">
        <v>7</v>
      </c>
      <c r="C119" s="263"/>
      <c r="D119" s="619" t="s">
        <v>463</v>
      </c>
      <c r="E119" s="281"/>
    </row>
    <row r="120" spans="2:5" ht="15.6" x14ac:dyDescent="0.3">
      <c r="B120" s="619">
        <v>8</v>
      </c>
      <c r="C120" s="263"/>
      <c r="D120" s="619" t="s">
        <v>463</v>
      </c>
      <c r="E120" s="281"/>
    </row>
    <row r="121" spans="2:5" ht="15.6" x14ac:dyDescent="0.3">
      <c r="B121" s="619">
        <v>9</v>
      </c>
      <c r="C121" s="263"/>
      <c r="D121" s="619" t="s">
        <v>463</v>
      </c>
      <c r="E121" s="281"/>
    </row>
    <row r="122" spans="2:5" ht="15.6" x14ac:dyDescent="0.3">
      <c r="B122" s="619">
        <v>10</v>
      </c>
      <c r="C122" s="263"/>
      <c r="D122" s="619" t="s">
        <v>463</v>
      </c>
      <c r="E122" s="281"/>
    </row>
    <row r="123" spans="2:5" x14ac:dyDescent="0.3">
      <c r="B123" s="619">
        <v>11</v>
      </c>
      <c r="C123" s="263"/>
      <c r="D123" s="619" t="s">
        <v>463</v>
      </c>
      <c r="E123" s="263"/>
    </row>
    <row r="124" spans="2:5" x14ac:dyDescent="0.3">
      <c r="B124" s="619">
        <v>12</v>
      </c>
      <c r="D124" s="619" t="s">
        <v>463</v>
      </c>
    </row>
    <row r="125" spans="2:5" x14ac:dyDescent="0.3">
      <c r="B125" s="619">
        <v>13</v>
      </c>
      <c r="D125" s="619" t="s">
        <v>463</v>
      </c>
    </row>
    <row r="126" spans="2:5" x14ac:dyDescent="0.3">
      <c r="B126" s="491">
        <v>14</v>
      </c>
      <c r="D126" s="619" t="s">
        <v>463</v>
      </c>
    </row>
    <row r="127" spans="2:5" x14ac:dyDescent="0.3">
      <c r="B127" s="491">
        <v>15</v>
      </c>
      <c r="D127" s="619" t="s">
        <v>463</v>
      </c>
    </row>
    <row r="128" spans="2:5" x14ac:dyDescent="0.3">
      <c r="B128" s="491">
        <v>16</v>
      </c>
      <c r="D128" s="491" t="s">
        <v>462</v>
      </c>
    </row>
    <row r="129" spans="2:4" x14ac:dyDescent="0.3">
      <c r="B129" s="491">
        <v>17</v>
      </c>
      <c r="D129" s="491" t="s">
        <v>462</v>
      </c>
    </row>
    <row r="130" spans="2:4" x14ac:dyDescent="0.3">
      <c r="B130" s="491">
        <v>18</v>
      </c>
      <c r="D130" s="619" t="s">
        <v>463</v>
      </c>
    </row>
    <row r="131" spans="2:4" x14ac:dyDescent="0.3">
      <c r="B131" s="491">
        <v>19</v>
      </c>
      <c r="D131" s="619" t="s">
        <v>446</v>
      </c>
    </row>
    <row r="132" spans="2:4" x14ac:dyDescent="0.3">
      <c r="B132" s="491">
        <v>20</v>
      </c>
      <c r="D132" s="489" t="s">
        <v>446</v>
      </c>
    </row>
    <row r="133" spans="2:4" x14ac:dyDescent="0.3">
      <c r="B133" s="491">
        <v>21</v>
      </c>
      <c r="D133" s="489" t="s">
        <v>446</v>
      </c>
    </row>
    <row r="134" spans="2:4" x14ac:dyDescent="0.3">
      <c r="B134" s="491">
        <v>22</v>
      </c>
      <c r="D134" s="489" t="s">
        <v>446</v>
      </c>
    </row>
  </sheetData>
  <mergeCells count="2">
    <mergeCell ref="B4:C4"/>
    <mergeCell ref="B5:C5"/>
  </mergeCells>
  <dataValidations count="3">
    <dataValidation type="list" showInputMessage="1" showErrorMessage="1" sqref="F55:F79 F27:F50">
      <formula1>$E$4:$E$16</formula1>
    </dataValidation>
    <dataValidation type="list" showInputMessage="1" showErrorMessage="1" sqref="D80:D84 D107:D108">
      <formula1>#REF!</formula1>
    </dataValidation>
    <dataValidation showInputMessage="1" showErrorMessage="1" sqref="E4:E16"/>
  </dataValidations>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2"/>
  <sheetViews>
    <sheetView zoomScale="110" zoomScaleNormal="110" zoomScalePageLayoutView="150" workbookViewId="0">
      <selection activeCell="P30" sqref="P30"/>
    </sheetView>
  </sheetViews>
  <sheetFormatPr defaultColWidth="8.88671875" defaultRowHeight="14.4" x14ac:dyDescent="0.3"/>
  <cols>
    <col min="1" max="1" width="4.109375" style="625" customWidth="1"/>
    <col min="2" max="2" width="5.109375" style="625" customWidth="1"/>
    <col min="3" max="3" width="4.109375" style="625" customWidth="1"/>
    <col min="4" max="4" width="4.44140625" style="625" customWidth="1"/>
    <col min="5" max="5" width="32.6640625" style="625" customWidth="1"/>
    <col min="6" max="6" width="28.33203125" style="625" bestFit="1" customWidth="1"/>
    <col min="7" max="7" width="12.6640625" style="625" bestFit="1" customWidth="1"/>
    <col min="8" max="8" width="12.44140625" style="625" bestFit="1" customWidth="1"/>
    <col min="9" max="9" width="17.88671875" style="625" bestFit="1" customWidth="1"/>
    <col min="10" max="10" width="21.6640625" style="625" bestFit="1" customWidth="1"/>
    <col min="11" max="11" width="16.6640625" style="625" bestFit="1" customWidth="1"/>
    <col min="12" max="12" width="13.33203125" style="625" customWidth="1"/>
    <col min="13" max="13" width="9.44140625" style="625" customWidth="1"/>
    <col min="14" max="14" width="12.33203125" style="625" customWidth="1"/>
    <col min="15" max="15" width="8.88671875" style="625"/>
    <col min="16" max="16" width="28.88671875" style="625" bestFit="1" customWidth="1"/>
    <col min="17" max="17" width="12.44140625" style="625" customWidth="1"/>
    <col min="18" max="18" width="8.33203125" style="625" customWidth="1"/>
    <col min="19" max="19" width="8.88671875" style="625"/>
    <col min="20" max="20" width="17.33203125" style="625" customWidth="1"/>
    <col min="21" max="22" width="8.88671875" style="625"/>
    <col min="23" max="23" width="11.6640625" style="625" customWidth="1"/>
    <col min="24" max="16384" width="8.88671875" style="625"/>
  </cols>
  <sheetData>
    <row r="1" spans="1:15" ht="15" x14ac:dyDescent="0.25">
      <c r="A1" s="611" t="s">
        <v>368</v>
      </c>
    </row>
    <row r="2" spans="1:15" ht="15.75" thickBot="1" x14ac:dyDescent="0.3"/>
    <row r="3" spans="1:15" ht="42.9" customHeight="1" x14ac:dyDescent="0.25">
      <c r="A3" s="611" t="s">
        <v>110</v>
      </c>
      <c r="F3" s="419" t="s">
        <v>229</v>
      </c>
      <c r="G3" s="625">
        <v>1</v>
      </c>
      <c r="H3" s="625">
        <v>10</v>
      </c>
      <c r="I3" s="625">
        <v>50</v>
      </c>
      <c r="J3" s="625">
        <v>100</v>
      </c>
      <c r="K3" s="625" t="s">
        <v>115</v>
      </c>
      <c r="L3" s="625" t="s">
        <v>141</v>
      </c>
      <c r="N3" s="634" t="s">
        <v>479</v>
      </c>
      <c r="O3" s="471" t="s">
        <v>756</v>
      </c>
    </row>
    <row r="4" spans="1:15" ht="15" x14ac:dyDescent="0.25">
      <c r="A4" s="611"/>
      <c r="B4" s="1000" t="s">
        <v>33</v>
      </c>
      <c r="C4" s="1000"/>
      <c r="D4" s="202"/>
      <c r="E4" s="524" t="s">
        <v>641</v>
      </c>
      <c r="F4" s="366"/>
      <c r="G4" s="268">
        <f>SUM(K19:K38)</f>
        <v>1224163.2773048244</v>
      </c>
      <c r="H4" s="268">
        <f>$G4*H$3^(LOG10($K4)/LOG10(2))*H$3</f>
        <v>7134673.3379248921</v>
      </c>
      <c r="I4" s="268">
        <f>$G4*I$3^(LOG10($K4)/LOG10(2))*I$3</f>
        <v>24460195.207527436</v>
      </c>
      <c r="J4" s="268">
        <f>$G4*J$3^(LOG10($K4)/LOG10(2))*J$3</f>
        <v>41582331.852796644</v>
      </c>
      <c r="K4" s="269">
        <v>0.85</v>
      </c>
      <c r="L4" s="774">
        <f>SUM(I19:I38)</f>
        <v>45322.580346986069</v>
      </c>
      <c r="N4" s="635">
        <f>1-K4</f>
        <v>0.15000000000000002</v>
      </c>
      <c r="O4" s="91" t="s">
        <v>753</v>
      </c>
    </row>
    <row r="5" spans="1:15" ht="15" x14ac:dyDescent="0.25">
      <c r="B5" s="1000" t="s">
        <v>35</v>
      </c>
      <c r="C5" s="1000"/>
      <c r="D5" s="202"/>
      <c r="E5" s="524" t="s">
        <v>749</v>
      </c>
      <c r="F5" s="366">
        <f t="shared" ref="F5:F12" si="0">SUMIF($F$123:$F$144,"="&amp;E5,$H$123:$H$144)</f>
        <v>0</v>
      </c>
      <c r="G5" s="268">
        <f>SUM(K42:K49)</f>
        <v>231994.09015480007</v>
      </c>
      <c r="H5" s="268">
        <f t="shared" ref="H5:J12" si="1">$G5*H$3^(LOG10($K5)/LOG10(2))*H$3</f>
        <v>1352108.8896146</v>
      </c>
      <c r="I5" s="268">
        <f t="shared" si="1"/>
        <v>4635509.6884401245</v>
      </c>
      <c r="J5" s="268">
        <f>$G5*J$3^(LOG10($K5)/LOG10(2))*J$3</f>
        <v>7880366.4703482119</v>
      </c>
      <c r="K5" s="269">
        <v>0.85</v>
      </c>
      <c r="L5" s="775">
        <f>SUM(I42:I49)</f>
        <v>8174.9446098003637</v>
      </c>
      <c r="M5" s="768"/>
      <c r="N5" s="635">
        <f t="shared" ref="N5:N12" si="2">1-K5</f>
        <v>0.15000000000000002</v>
      </c>
      <c r="O5" s="91" t="s">
        <v>753</v>
      </c>
    </row>
    <row r="6" spans="1:15" ht="15" x14ac:dyDescent="0.25">
      <c r="B6" s="490" t="s">
        <v>36</v>
      </c>
      <c r="C6" s="490"/>
      <c r="D6" s="490"/>
      <c r="E6" s="525" t="s">
        <v>731</v>
      </c>
      <c r="F6" s="366">
        <f t="shared" si="0"/>
        <v>0</v>
      </c>
      <c r="G6" s="268">
        <f>K53</f>
        <v>5616.0000000000009</v>
      </c>
      <c r="H6" s="268">
        <f t="shared" si="1"/>
        <v>47361.616587141041</v>
      </c>
      <c r="I6" s="268">
        <f t="shared" si="1"/>
        <v>210219.17882622519</v>
      </c>
      <c r="J6" s="268">
        <f t="shared" si="1"/>
        <v>399416.43976982782</v>
      </c>
      <c r="K6" s="269">
        <v>0.95</v>
      </c>
      <c r="L6" s="774">
        <f>I53</f>
        <v>2548.0943738656988</v>
      </c>
      <c r="M6" s="768"/>
      <c r="N6" s="635">
        <f t="shared" si="2"/>
        <v>5.0000000000000044E-2</v>
      </c>
      <c r="O6" s="91" t="s">
        <v>754</v>
      </c>
    </row>
    <row r="7" spans="1:15" ht="15" x14ac:dyDescent="0.25">
      <c r="B7" s="490" t="s">
        <v>37</v>
      </c>
      <c r="C7" s="490"/>
      <c r="D7" s="490"/>
      <c r="E7" s="525" t="s">
        <v>737</v>
      </c>
      <c r="F7" s="366">
        <f t="shared" si="0"/>
        <v>0</v>
      </c>
      <c r="G7" s="268">
        <f>K54</f>
        <v>55017.73</v>
      </c>
      <c r="H7" s="366">
        <f t="shared" si="1"/>
        <v>320654.55533707142</v>
      </c>
      <c r="I7" s="366">
        <f t="shared" si="1"/>
        <v>1099317.7467616028</v>
      </c>
      <c r="J7" s="366">
        <f t="shared" si="1"/>
        <v>1868840.1694947246</v>
      </c>
      <c r="K7" s="269">
        <v>0.85</v>
      </c>
      <c r="L7" s="774">
        <f>I54</f>
        <v>1300.8166969147005</v>
      </c>
      <c r="M7" s="768"/>
      <c r="N7" s="635">
        <f t="shared" si="2"/>
        <v>0.15000000000000002</v>
      </c>
      <c r="O7" s="91" t="s">
        <v>753</v>
      </c>
    </row>
    <row r="8" spans="1:15" ht="15" x14ac:dyDescent="0.25">
      <c r="B8" s="490" t="s">
        <v>40</v>
      </c>
      <c r="C8" s="490"/>
      <c r="D8" s="490"/>
      <c r="E8" s="525" t="s">
        <v>733</v>
      </c>
      <c r="F8" s="366">
        <f t="shared" si="0"/>
        <v>0</v>
      </c>
      <c r="G8" s="268">
        <f>SUM(K58:K59)</f>
        <v>32054.720000000001</v>
      </c>
      <c r="H8" s="366">
        <f t="shared" si="1"/>
        <v>277602.01831181312</v>
      </c>
      <c r="I8" s="366">
        <f t="shared" si="1"/>
        <v>1255244.7367305805</v>
      </c>
      <c r="J8" s="366">
        <f t="shared" si="1"/>
        <v>2404103.9999972624</v>
      </c>
      <c r="K8" s="269">
        <v>0.95762361300912902</v>
      </c>
      <c r="L8" s="774">
        <f>SUM(I58:I59)</f>
        <v>98.058076225045369</v>
      </c>
      <c r="M8" s="768"/>
      <c r="N8" s="635">
        <f t="shared" si="2"/>
        <v>4.2376386990870984E-2</v>
      </c>
      <c r="O8" s="91" t="s">
        <v>755</v>
      </c>
    </row>
    <row r="9" spans="1:15" ht="15" x14ac:dyDescent="0.25">
      <c r="B9" s="490" t="s">
        <v>42</v>
      </c>
      <c r="C9" s="490"/>
      <c r="D9" s="490"/>
      <c r="E9" s="492" t="s">
        <v>745</v>
      </c>
      <c r="F9" s="366">
        <f t="shared" si="0"/>
        <v>0</v>
      </c>
      <c r="G9" s="268">
        <f>K61</f>
        <v>1400</v>
      </c>
      <c r="H9" s="366">
        <f t="shared" si="1"/>
        <v>11806.670801637722</v>
      </c>
      <c r="I9" s="366">
        <f t="shared" si="1"/>
        <v>52405.065946708557</v>
      </c>
      <c r="J9" s="366">
        <f t="shared" si="1"/>
        <v>99569.62529874625</v>
      </c>
      <c r="K9" s="269">
        <v>0.95</v>
      </c>
      <c r="L9" s="774">
        <f>I61</f>
        <v>77.132486388384748</v>
      </c>
      <c r="M9" s="768"/>
      <c r="N9" s="635">
        <f>1-K9</f>
        <v>5.0000000000000044E-2</v>
      </c>
      <c r="O9" s="91" t="s">
        <v>754</v>
      </c>
    </row>
    <row r="10" spans="1:15" ht="15" x14ac:dyDescent="0.25">
      <c r="A10" s="23"/>
      <c r="B10" s="191" t="s">
        <v>44</v>
      </c>
      <c r="C10" s="191"/>
      <c r="D10" s="191"/>
      <c r="E10" s="492" t="s">
        <v>34</v>
      </c>
      <c r="F10" s="366">
        <f t="shared" si="0"/>
        <v>0</v>
      </c>
      <c r="G10" s="268">
        <f t="shared" ref="G10:G12" si="3">K62</f>
        <v>35000</v>
      </c>
      <c r="H10" s="366">
        <f t="shared" si="1"/>
        <v>308798.90206495952</v>
      </c>
      <c r="I10" s="366">
        <f t="shared" si="1"/>
        <v>1414578.8742994284</v>
      </c>
      <c r="J10" s="366">
        <f t="shared" si="1"/>
        <v>2724478.9119006987</v>
      </c>
      <c r="K10" s="269">
        <v>0.96299999999999997</v>
      </c>
      <c r="L10" s="774">
        <f>I62</f>
        <v>1127.4954627949182</v>
      </c>
      <c r="M10" s="768"/>
      <c r="N10" s="635">
        <f t="shared" si="2"/>
        <v>3.7000000000000033E-2</v>
      </c>
      <c r="O10" s="91" t="s">
        <v>752</v>
      </c>
    </row>
    <row r="11" spans="1:15" ht="15" x14ac:dyDescent="0.25">
      <c r="B11" s="490" t="s">
        <v>46</v>
      </c>
      <c r="C11" s="490"/>
      <c r="D11" s="490"/>
      <c r="E11" s="492" t="s">
        <v>738</v>
      </c>
      <c r="F11" s="366">
        <f t="shared" si="0"/>
        <v>0</v>
      </c>
      <c r="G11" s="268">
        <f t="shared" si="3"/>
        <v>40000</v>
      </c>
      <c r="H11" s="366">
        <f t="shared" si="1"/>
        <v>189025.60767161063</v>
      </c>
      <c r="I11" s="366">
        <f t="shared" si="1"/>
        <v>559691.10832740704</v>
      </c>
      <c r="J11" s="366">
        <f t="shared" si="1"/>
        <v>893267.00889054174</v>
      </c>
      <c r="K11" s="269">
        <v>0.79800000000000004</v>
      </c>
      <c r="L11" s="774">
        <f>I63</f>
        <v>952.81306715063511</v>
      </c>
      <c r="M11" s="768"/>
      <c r="N11" s="635">
        <f t="shared" si="2"/>
        <v>0.20199999999999996</v>
      </c>
      <c r="O11" s="91" t="s">
        <v>750</v>
      </c>
    </row>
    <row r="12" spans="1:15" ht="14.25" customHeight="1" x14ac:dyDescent="0.25">
      <c r="B12" s="490" t="s">
        <v>61</v>
      </c>
      <c r="C12" s="490"/>
      <c r="D12" s="490"/>
      <c r="E12" s="492" t="s">
        <v>746</v>
      </c>
      <c r="F12" s="366">
        <f t="shared" si="0"/>
        <v>0</v>
      </c>
      <c r="G12" s="268">
        <f t="shared" si="3"/>
        <v>12000</v>
      </c>
      <c r="H12" s="366">
        <f>$G12*H$3^(LOG10($K12)/LOG10(2))*H$3</f>
        <v>107341.84133204038</v>
      </c>
      <c r="I12" s="366">
        <f t="shared" si="1"/>
        <v>496478.40833130537</v>
      </c>
      <c r="J12" s="366">
        <f>$G12*J$3^(LOG10($K12)/LOG10(2))*J$3</f>
        <v>960189.24171274446</v>
      </c>
      <c r="K12" s="269">
        <v>0.96699999999999997</v>
      </c>
      <c r="L12" s="774">
        <f>I64</f>
        <v>0</v>
      </c>
      <c r="M12" s="768"/>
      <c r="N12" s="635">
        <f t="shared" si="2"/>
        <v>3.3000000000000029E-2</v>
      </c>
      <c r="O12" s="91" t="s">
        <v>751</v>
      </c>
    </row>
    <row r="13" spans="1:15" ht="15" x14ac:dyDescent="0.25">
      <c r="B13" s="490"/>
      <c r="C13" s="490"/>
      <c r="D13" s="490"/>
      <c r="E13" s="490"/>
      <c r="F13" s="204"/>
      <c r="G13" s="204"/>
      <c r="H13" s="204"/>
      <c r="I13" s="204"/>
      <c r="J13" s="204"/>
      <c r="K13" s="492"/>
      <c r="M13" s="768"/>
      <c r="N13" s="635"/>
    </row>
    <row r="14" spans="1:15" ht="15" x14ac:dyDescent="0.25">
      <c r="B14" s="490"/>
      <c r="C14" s="490"/>
      <c r="D14" s="490"/>
      <c r="E14" s="738" t="s">
        <v>80</v>
      </c>
      <c r="F14" s="204"/>
      <c r="G14" s="204">
        <f>SUM(G4:G12)</f>
        <v>1637245.8174596245</v>
      </c>
      <c r="H14" s="204">
        <f>SUM(H4:H12)</f>
        <v>9749373.4396457672</v>
      </c>
      <c r="I14" s="204">
        <f>SUM(I4:I12)</f>
        <v>34183640.015190817</v>
      </c>
      <c r="J14" s="204">
        <f>SUM(J4:J12)</f>
        <v>58812563.720209397</v>
      </c>
      <c r="K14" s="298"/>
      <c r="L14" s="287">
        <f>SUM(L4:L12)</f>
        <v>59601.935120125818</v>
      </c>
      <c r="M14" s="768"/>
      <c r="N14" s="635"/>
    </row>
    <row r="15" spans="1:15" ht="15.75" thickBot="1" x14ac:dyDescent="0.3">
      <c r="B15" s="73"/>
      <c r="C15" s="73"/>
      <c r="D15" s="73"/>
      <c r="E15" s="74" t="s">
        <v>116</v>
      </c>
      <c r="F15" s="205">
        <f>SUM(F4:F12)</f>
        <v>0</v>
      </c>
      <c r="G15" s="205">
        <f>G14/G3</f>
        <v>1637245.8174596245</v>
      </c>
      <c r="H15" s="205">
        <f>H14/H3</f>
        <v>974937.34396457672</v>
      </c>
      <c r="I15" s="205">
        <f>I14/I3</f>
        <v>683672.80030381633</v>
      </c>
      <c r="J15" s="205">
        <f>J14/J3</f>
        <v>588125.63720209396</v>
      </c>
      <c r="K15" s="490"/>
      <c r="N15" s="636"/>
    </row>
    <row r="16" spans="1:15" s="758" customFormat="1" ht="15" x14ac:dyDescent="0.25">
      <c r="B16" s="490"/>
      <c r="C16" s="490"/>
      <c r="D16" s="490"/>
      <c r="E16" s="738"/>
      <c r="F16" s="204"/>
      <c r="G16" s="204"/>
      <c r="H16" s="204"/>
      <c r="I16" s="204"/>
      <c r="J16" s="204"/>
      <c r="K16" s="490"/>
      <c r="N16" s="760"/>
    </row>
    <row r="17" spans="2:14" s="758" customFormat="1" ht="15" x14ac:dyDescent="0.25">
      <c r="B17" s="31" t="s">
        <v>33</v>
      </c>
      <c r="C17" s="31" t="s">
        <v>641</v>
      </c>
      <c r="D17" s="31"/>
      <c r="E17" s="738"/>
      <c r="F17" s="204"/>
      <c r="G17" s="204"/>
      <c r="H17" s="204"/>
      <c r="I17" s="204"/>
      <c r="J17" s="204"/>
      <c r="K17" s="490"/>
      <c r="N17" s="760"/>
    </row>
    <row r="18" spans="2:14" s="768" customFormat="1" ht="15" x14ac:dyDescent="0.25">
      <c r="B18" s="31"/>
      <c r="C18" s="31"/>
      <c r="D18" s="31"/>
      <c r="E18" s="738" t="s">
        <v>591</v>
      </c>
      <c r="F18" s="204" t="s">
        <v>640</v>
      </c>
      <c r="G18" s="204" t="s">
        <v>635</v>
      </c>
      <c r="H18" s="204" t="s">
        <v>638</v>
      </c>
      <c r="I18" s="204" t="s">
        <v>637</v>
      </c>
      <c r="J18" s="204" t="s">
        <v>639</v>
      </c>
      <c r="K18" s="490" t="s">
        <v>636</v>
      </c>
      <c r="L18" s="366" t="s">
        <v>835</v>
      </c>
      <c r="N18" s="760"/>
    </row>
    <row r="19" spans="2:14" s="758" customFormat="1" ht="15" x14ac:dyDescent="0.25">
      <c r="C19" s="490" t="s">
        <v>645</v>
      </c>
      <c r="D19" s="490"/>
      <c r="E19" s="738" t="s">
        <v>614</v>
      </c>
      <c r="F19" s="204" t="s">
        <v>642</v>
      </c>
      <c r="G19" s="761">
        <v>256.77551968859171</v>
      </c>
      <c r="H19" s="761">
        <v>13</v>
      </c>
      <c r="I19" s="761">
        <v>3338.0817559516922</v>
      </c>
      <c r="J19" s="601">
        <v>30.856000000000002</v>
      </c>
      <c r="K19" s="702">
        <v>102999.85066164543</v>
      </c>
      <c r="L19" s="65">
        <f>K19/H19</f>
        <v>7923.0654355111865</v>
      </c>
      <c r="N19" s="760"/>
    </row>
    <row r="20" spans="2:14" s="758" customFormat="1" x14ac:dyDescent="0.3">
      <c r="C20" s="490" t="s">
        <v>646</v>
      </c>
      <c r="D20" s="490"/>
      <c r="E20" s="738" t="s">
        <v>616</v>
      </c>
      <c r="F20" s="204" t="s">
        <v>642</v>
      </c>
      <c r="G20" s="761">
        <v>10823.366894122933</v>
      </c>
      <c r="H20" s="761">
        <v>1</v>
      </c>
      <c r="I20" s="761">
        <v>10823.366894122933</v>
      </c>
      <c r="J20" s="601">
        <v>30.856000000000002</v>
      </c>
      <c r="K20" s="702">
        <v>333965.80888505722</v>
      </c>
      <c r="L20" s="65">
        <f t="shared" ref="L20:L38" si="4">K20/H20</f>
        <v>333965.80888505722</v>
      </c>
      <c r="N20" s="760"/>
    </row>
    <row r="21" spans="2:14" s="758" customFormat="1" x14ac:dyDescent="0.3">
      <c r="C21" s="490" t="s">
        <v>647</v>
      </c>
      <c r="D21" s="490"/>
      <c r="E21" s="738" t="s">
        <v>617</v>
      </c>
      <c r="F21" s="204" t="s">
        <v>642</v>
      </c>
      <c r="G21" s="761">
        <v>1919.9065804529259</v>
      </c>
      <c r="H21" s="761">
        <v>2</v>
      </c>
      <c r="I21" s="761">
        <v>3839.8131609058519</v>
      </c>
      <c r="J21" s="601">
        <v>18.9544</v>
      </c>
      <c r="K21" s="702">
        <v>72781.354577073871</v>
      </c>
      <c r="L21" s="65">
        <f t="shared" si="4"/>
        <v>36390.677288536936</v>
      </c>
      <c r="N21" s="760"/>
    </row>
    <row r="22" spans="2:14" s="758" customFormat="1" x14ac:dyDescent="0.3">
      <c r="C22" s="490" t="s">
        <v>648</v>
      </c>
      <c r="D22" s="490"/>
      <c r="E22" s="738" t="s">
        <v>619</v>
      </c>
      <c r="F22" s="204" t="s">
        <v>642</v>
      </c>
      <c r="G22" s="761">
        <v>2129.3388425499643</v>
      </c>
      <c r="H22" s="761">
        <v>2</v>
      </c>
      <c r="I22" s="761">
        <v>4258.6776850999286</v>
      </c>
      <c r="J22" s="601">
        <v>18.9544</v>
      </c>
      <c r="K22" s="702">
        <v>80720.680314458092</v>
      </c>
      <c r="L22" s="65">
        <f t="shared" si="4"/>
        <v>40360.340157229046</v>
      </c>
      <c r="N22" s="760"/>
    </row>
    <row r="23" spans="2:14" s="758" customFormat="1" x14ac:dyDescent="0.3">
      <c r="C23" s="490" t="s">
        <v>649</v>
      </c>
      <c r="D23" s="490"/>
      <c r="E23" s="738" t="s">
        <v>620</v>
      </c>
      <c r="F23" s="204" t="s">
        <v>642</v>
      </c>
      <c r="G23" s="761">
        <v>260.98216172653406</v>
      </c>
      <c r="H23" s="761">
        <v>2</v>
      </c>
      <c r="I23" s="761">
        <v>521.96432345306812</v>
      </c>
      <c r="J23" s="601">
        <v>18.9544</v>
      </c>
      <c r="K23" s="702">
        <v>9893.5205724588341</v>
      </c>
      <c r="L23" s="65">
        <f t="shared" si="4"/>
        <v>4946.760286229417</v>
      </c>
      <c r="N23" s="760"/>
    </row>
    <row r="24" spans="2:14" s="758" customFormat="1" x14ac:dyDescent="0.3">
      <c r="C24" s="490" t="s">
        <v>650</v>
      </c>
      <c r="D24" s="490"/>
      <c r="E24" s="738" t="s">
        <v>584</v>
      </c>
      <c r="F24" s="204" t="s">
        <v>642</v>
      </c>
      <c r="G24" s="761">
        <v>1618.0291196161279</v>
      </c>
      <c r="H24" s="761">
        <v>2</v>
      </c>
      <c r="I24" s="761">
        <v>3236.0582392322558</v>
      </c>
      <c r="J24" s="601">
        <v>18.9544</v>
      </c>
      <c r="K24" s="702">
        <v>61337.542289703866</v>
      </c>
      <c r="L24" s="65">
        <f t="shared" si="4"/>
        <v>30668.771144851933</v>
      </c>
      <c r="N24" s="760"/>
    </row>
    <row r="25" spans="2:14" s="758" customFormat="1" x14ac:dyDescent="0.3">
      <c r="C25" s="490" t="s">
        <v>651</v>
      </c>
      <c r="D25" s="490"/>
      <c r="E25" s="738" t="s">
        <v>621</v>
      </c>
      <c r="F25" s="204" t="s">
        <v>642</v>
      </c>
      <c r="G25" s="761">
        <v>2437.3689792196005</v>
      </c>
      <c r="H25" s="761">
        <v>1</v>
      </c>
      <c r="I25" s="761">
        <v>2437.3689792196005</v>
      </c>
      <c r="J25" s="601">
        <v>18.9544</v>
      </c>
      <c r="K25" s="702">
        <v>46198.866579719994</v>
      </c>
      <c r="L25" s="65">
        <f t="shared" si="4"/>
        <v>46198.866579719994</v>
      </c>
      <c r="N25" s="760"/>
    </row>
    <row r="26" spans="2:14" s="758" customFormat="1" x14ac:dyDescent="0.3">
      <c r="C26" s="490" t="s">
        <v>652</v>
      </c>
      <c r="D26" s="490"/>
      <c r="E26" s="738" t="s">
        <v>622</v>
      </c>
      <c r="F26" s="204" t="s">
        <v>642</v>
      </c>
      <c r="G26" s="761">
        <v>520.74735513611608</v>
      </c>
      <c r="H26" s="761">
        <v>1</v>
      </c>
      <c r="I26" s="761">
        <v>520.74735513611608</v>
      </c>
      <c r="J26" s="601">
        <v>18.9544</v>
      </c>
      <c r="K26" s="702">
        <v>9870.4536681919981</v>
      </c>
      <c r="L26" s="65">
        <f t="shared" si="4"/>
        <v>9870.4536681919981</v>
      </c>
      <c r="N26" s="760"/>
    </row>
    <row r="27" spans="2:14" s="758" customFormat="1" x14ac:dyDescent="0.3">
      <c r="C27" s="490" t="s">
        <v>653</v>
      </c>
      <c r="D27" s="490"/>
      <c r="E27" s="738" t="s">
        <v>623</v>
      </c>
      <c r="F27" s="204" t="s">
        <v>642</v>
      </c>
      <c r="G27" s="761">
        <v>7322.4051149858151</v>
      </c>
      <c r="H27" s="761">
        <v>1</v>
      </c>
      <c r="I27" s="761">
        <v>7322.4051149858151</v>
      </c>
      <c r="J27" s="601">
        <v>18.9544</v>
      </c>
      <c r="K27" s="702">
        <v>138791.79551148714</v>
      </c>
      <c r="L27" s="65">
        <f t="shared" si="4"/>
        <v>138791.79551148714</v>
      </c>
      <c r="N27" s="760"/>
    </row>
    <row r="28" spans="2:14" s="758" customFormat="1" x14ac:dyDescent="0.3">
      <c r="C28" s="490" t="s">
        <v>654</v>
      </c>
      <c r="D28" s="490"/>
      <c r="E28" s="738" t="s">
        <v>585</v>
      </c>
      <c r="F28" s="204" t="s">
        <v>642</v>
      </c>
      <c r="G28" s="761">
        <v>137.02278983214291</v>
      </c>
      <c r="H28" s="761">
        <v>1</v>
      </c>
      <c r="I28" s="761">
        <v>137.02278983214291</v>
      </c>
      <c r="J28" s="601">
        <v>59.508000000000003</v>
      </c>
      <c r="K28" s="702">
        <v>8153.9521773311608</v>
      </c>
      <c r="L28" s="65">
        <f t="shared" si="4"/>
        <v>8153.9521773311608</v>
      </c>
      <c r="N28" s="760"/>
    </row>
    <row r="29" spans="2:14" s="758" customFormat="1" x14ac:dyDescent="0.3">
      <c r="C29" s="490" t="s">
        <v>655</v>
      </c>
      <c r="D29" s="490"/>
      <c r="E29" s="738" t="s">
        <v>586</v>
      </c>
      <c r="F29" s="204" t="s">
        <v>642</v>
      </c>
      <c r="G29" s="761">
        <v>66.642571703806155</v>
      </c>
      <c r="H29" s="761">
        <v>1</v>
      </c>
      <c r="I29" s="761">
        <v>66.642571703806155</v>
      </c>
      <c r="J29" s="601">
        <v>59.508000000000003</v>
      </c>
      <c r="K29" s="702">
        <v>3965.766156950097</v>
      </c>
      <c r="L29" s="65">
        <f t="shared" si="4"/>
        <v>3965.766156950097</v>
      </c>
      <c r="N29" s="760"/>
    </row>
    <row r="30" spans="2:14" s="758" customFormat="1" x14ac:dyDescent="0.3">
      <c r="C30" s="490" t="s">
        <v>656</v>
      </c>
      <c r="D30" s="490"/>
      <c r="E30" s="738" t="s">
        <v>587</v>
      </c>
      <c r="F30" s="204" t="s">
        <v>642</v>
      </c>
      <c r="G30" s="761">
        <v>206.34805754800931</v>
      </c>
      <c r="H30" s="761">
        <v>1</v>
      </c>
      <c r="I30" s="761">
        <v>206.34805754800931</v>
      </c>
      <c r="J30" s="601">
        <v>59.508000000000003</v>
      </c>
      <c r="K30" s="702">
        <v>12279.360208566939</v>
      </c>
      <c r="L30" s="65">
        <f t="shared" si="4"/>
        <v>12279.360208566939</v>
      </c>
      <c r="N30" s="760"/>
    </row>
    <row r="31" spans="2:14" s="758" customFormat="1" x14ac:dyDescent="0.3">
      <c r="C31" s="490" t="s">
        <v>657</v>
      </c>
      <c r="D31" s="490"/>
      <c r="E31" s="738" t="s">
        <v>588</v>
      </c>
      <c r="F31" s="204" t="s">
        <v>642</v>
      </c>
      <c r="G31" s="761">
        <v>66.642571703806155</v>
      </c>
      <c r="H31" s="761">
        <v>1</v>
      </c>
      <c r="I31" s="761">
        <v>66.642571703806155</v>
      </c>
      <c r="J31" s="601">
        <v>59.508000000000003</v>
      </c>
      <c r="K31" s="702">
        <v>3965.766156950097</v>
      </c>
      <c r="L31" s="65">
        <f t="shared" si="4"/>
        <v>3965.766156950097</v>
      </c>
      <c r="N31" s="760"/>
    </row>
    <row r="32" spans="2:14" s="758" customFormat="1" x14ac:dyDescent="0.3">
      <c r="C32" s="490" t="s">
        <v>658</v>
      </c>
      <c r="D32" s="490"/>
      <c r="E32" s="738" t="s">
        <v>624</v>
      </c>
      <c r="F32" s="204" t="s">
        <v>642</v>
      </c>
      <c r="G32" s="761">
        <v>298.81594509981846</v>
      </c>
      <c r="H32" s="761">
        <v>2</v>
      </c>
      <c r="I32" s="761">
        <v>597.63189019963693</v>
      </c>
      <c r="J32" s="601">
        <v>59.508000000000003</v>
      </c>
      <c r="K32" s="702">
        <v>35563.878521999999</v>
      </c>
      <c r="L32" s="65">
        <f t="shared" si="4"/>
        <v>17781.939261</v>
      </c>
      <c r="N32" s="760"/>
    </row>
    <row r="33" spans="2:14" s="758" customFormat="1" x14ac:dyDescent="0.3">
      <c r="C33" s="490" t="s">
        <v>659</v>
      </c>
      <c r="D33" s="490"/>
      <c r="E33" s="738" t="s">
        <v>626</v>
      </c>
      <c r="F33" s="204" t="s">
        <v>642</v>
      </c>
      <c r="G33" s="761">
        <v>297.07477689214835</v>
      </c>
      <c r="H33" s="761">
        <v>2</v>
      </c>
      <c r="I33" s="761">
        <v>594.1495537842967</v>
      </c>
      <c r="J33" s="601">
        <v>59.508000000000003</v>
      </c>
      <c r="K33" s="702">
        <v>35356.651646595928</v>
      </c>
      <c r="L33" s="65">
        <f t="shared" si="4"/>
        <v>17678.325823297964</v>
      </c>
      <c r="N33" s="760"/>
    </row>
    <row r="34" spans="2:14" s="758" customFormat="1" x14ac:dyDescent="0.3">
      <c r="C34" s="490" t="s">
        <v>660</v>
      </c>
      <c r="D34" s="490"/>
      <c r="E34" s="738" t="s">
        <v>589</v>
      </c>
      <c r="F34" s="204" t="s">
        <v>642</v>
      </c>
      <c r="G34" s="761">
        <v>1143.4831215970962</v>
      </c>
      <c r="H34" s="761">
        <v>2</v>
      </c>
      <c r="I34" s="761">
        <v>2286.9662431941924</v>
      </c>
      <c r="J34" s="601">
        <v>35.264000000000003</v>
      </c>
      <c r="K34" s="702">
        <v>80647.577600000004</v>
      </c>
      <c r="L34" s="65">
        <f t="shared" si="4"/>
        <v>40323.788800000002</v>
      </c>
      <c r="N34" s="760"/>
    </row>
    <row r="35" spans="2:14" s="758" customFormat="1" x14ac:dyDescent="0.3">
      <c r="C35" s="490" t="s">
        <v>661</v>
      </c>
      <c r="D35" s="490"/>
      <c r="E35" s="738" t="s">
        <v>627</v>
      </c>
      <c r="F35" s="204" t="s">
        <v>642</v>
      </c>
      <c r="G35" s="761">
        <v>3593.1685415548741</v>
      </c>
      <c r="H35" s="761">
        <v>1</v>
      </c>
      <c r="I35" s="761">
        <v>3593.1685415548741</v>
      </c>
      <c r="J35" s="601">
        <v>35.264000000000003</v>
      </c>
      <c r="K35" s="702">
        <v>126709.49544939109</v>
      </c>
      <c r="L35" s="65">
        <f t="shared" si="4"/>
        <v>126709.49544939109</v>
      </c>
      <c r="N35" s="760"/>
    </row>
    <row r="36" spans="2:14" s="758" customFormat="1" x14ac:dyDescent="0.3">
      <c r="C36" s="490" t="s">
        <v>662</v>
      </c>
      <c r="D36" s="490"/>
      <c r="E36" s="738" t="s">
        <v>628</v>
      </c>
      <c r="F36" s="204" t="s">
        <v>642</v>
      </c>
      <c r="G36" s="761">
        <v>256.852212416123</v>
      </c>
      <c r="H36" s="761">
        <v>1</v>
      </c>
      <c r="I36" s="761">
        <v>256.852212416123</v>
      </c>
      <c r="J36" s="601">
        <v>35.264000000000003</v>
      </c>
      <c r="K36" s="702">
        <v>9057.6364186421615</v>
      </c>
      <c r="L36" s="65">
        <f t="shared" si="4"/>
        <v>9057.6364186421615</v>
      </c>
      <c r="N36" s="760"/>
    </row>
    <row r="37" spans="2:14" s="758" customFormat="1" x14ac:dyDescent="0.3">
      <c r="C37" s="490" t="s">
        <v>663</v>
      </c>
      <c r="D37" s="490"/>
      <c r="E37" s="738" t="s">
        <v>629</v>
      </c>
      <c r="F37" s="204" t="s">
        <v>642</v>
      </c>
      <c r="G37" s="761">
        <v>359.79055011343013</v>
      </c>
      <c r="H37" s="761">
        <v>2</v>
      </c>
      <c r="I37" s="761">
        <v>719.58110022686026</v>
      </c>
      <c r="J37" s="601">
        <v>30.856000000000002</v>
      </c>
      <c r="K37" s="702">
        <v>22203.394428600001</v>
      </c>
      <c r="L37" s="65">
        <f t="shared" si="4"/>
        <v>11101.6972143</v>
      </c>
      <c r="N37" s="760"/>
    </row>
    <row r="38" spans="2:14" s="758" customFormat="1" x14ac:dyDescent="0.3">
      <c r="C38" s="490" t="s">
        <v>664</v>
      </c>
      <c r="D38" s="490"/>
      <c r="E38" s="738" t="s">
        <v>631</v>
      </c>
      <c r="F38" s="204" t="s">
        <v>642</v>
      </c>
      <c r="G38" s="761">
        <v>499.09130671506352</v>
      </c>
      <c r="H38" s="761">
        <v>1</v>
      </c>
      <c r="I38" s="761">
        <v>499.09130671506352</v>
      </c>
      <c r="J38" s="601">
        <v>59.508000000000003</v>
      </c>
      <c r="K38" s="702">
        <v>29699.925480000002</v>
      </c>
      <c r="L38" s="65">
        <f t="shared" si="4"/>
        <v>29699.925480000002</v>
      </c>
      <c r="N38" s="760"/>
    </row>
    <row r="39" spans="2:14" s="768" customFormat="1" x14ac:dyDescent="0.3">
      <c r="C39" s="490"/>
      <c r="D39" s="490"/>
      <c r="E39" s="738"/>
      <c r="F39" s="204"/>
      <c r="G39" s="761"/>
      <c r="H39" s="761"/>
      <c r="I39" s="761"/>
      <c r="J39" s="601"/>
      <c r="K39" s="702"/>
      <c r="N39" s="760"/>
    </row>
    <row r="40" spans="2:14" s="758" customFormat="1" x14ac:dyDescent="0.3">
      <c r="B40" s="31" t="s">
        <v>35</v>
      </c>
      <c r="C40" s="471" t="s">
        <v>665</v>
      </c>
      <c r="D40" s="490"/>
      <c r="E40" s="738"/>
      <c r="F40" s="204"/>
      <c r="G40" s="761"/>
      <c r="H40" s="761"/>
      <c r="I40" s="761"/>
      <c r="J40" s="204"/>
      <c r="K40" s="490"/>
      <c r="N40" s="760"/>
    </row>
    <row r="41" spans="2:14" s="764" customFormat="1" x14ac:dyDescent="0.3">
      <c r="B41" s="490"/>
      <c r="C41" s="490"/>
      <c r="D41" s="490"/>
      <c r="E41" s="738" t="s">
        <v>591</v>
      </c>
      <c r="F41" s="204" t="s">
        <v>640</v>
      </c>
      <c r="G41" s="204" t="s">
        <v>635</v>
      </c>
      <c r="H41" s="204" t="s">
        <v>638</v>
      </c>
      <c r="I41" s="204" t="s">
        <v>637</v>
      </c>
      <c r="J41" s="204" t="s">
        <v>639</v>
      </c>
      <c r="K41" s="490" t="s">
        <v>636</v>
      </c>
      <c r="L41" s="366" t="s">
        <v>835</v>
      </c>
      <c r="N41" s="760"/>
    </row>
    <row r="42" spans="2:14" s="758" customFormat="1" x14ac:dyDescent="0.3">
      <c r="B42" s="490"/>
      <c r="C42" s="492" t="s">
        <v>696</v>
      </c>
      <c r="E42" s="434" t="s">
        <v>680</v>
      </c>
      <c r="F42" s="749" t="s">
        <v>695</v>
      </c>
      <c r="G42" s="761">
        <v>205.52618058076226</v>
      </c>
      <c r="H42" s="761">
        <v>12</v>
      </c>
      <c r="I42" s="761">
        <v>2466.3141669691472</v>
      </c>
      <c r="J42" s="601">
        <v>42.294760000000004</v>
      </c>
      <c r="K42" s="601">
        <v>104312.16577656002</v>
      </c>
      <c r="L42" s="65">
        <f t="shared" ref="L42:L49" si="5">K42/H42</f>
        <v>8692.6804813800027</v>
      </c>
      <c r="N42" s="760"/>
    </row>
    <row r="43" spans="2:14" s="758" customFormat="1" x14ac:dyDescent="0.3">
      <c r="B43" s="490"/>
      <c r="C43" s="492" t="s">
        <v>697</v>
      </c>
      <c r="E43" s="434" t="s">
        <v>683</v>
      </c>
      <c r="F43" s="749" t="s">
        <v>695</v>
      </c>
      <c r="G43" s="761">
        <v>91.344969147005429</v>
      </c>
      <c r="H43" s="761">
        <v>8</v>
      </c>
      <c r="I43" s="761">
        <v>730.75975317604343</v>
      </c>
      <c r="J43" s="601">
        <v>42.294760000000004</v>
      </c>
      <c r="K43" s="601">
        <v>30907.308378239999</v>
      </c>
      <c r="L43" s="65">
        <f t="shared" si="5"/>
        <v>3863.4135472799999</v>
      </c>
      <c r="N43" s="760"/>
    </row>
    <row r="44" spans="2:14" s="758" customFormat="1" x14ac:dyDescent="0.3">
      <c r="B44" s="490"/>
      <c r="C44" s="492" t="s">
        <v>698</v>
      </c>
      <c r="E44" s="754" t="s">
        <v>685</v>
      </c>
      <c r="F44" s="749" t="s">
        <v>695</v>
      </c>
      <c r="G44" s="761">
        <v>45.372050816696913</v>
      </c>
      <c r="H44" s="761">
        <v>2</v>
      </c>
      <c r="I44" s="761">
        <v>90.744101633393825</v>
      </c>
      <c r="J44" s="601">
        <v>30.856000000000002</v>
      </c>
      <c r="K44" s="601">
        <v>2800</v>
      </c>
      <c r="L44" s="65">
        <f t="shared" si="5"/>
        <v>1400</v>
      </c>
      <c r="N44" s="760"/>
    </row>
    <row r="45" spans="2:14" s="758" customFormat="1" x14ac:dyDescent="0.3">
      <c r="B45" s="490"/>
      <c r="C45" s="492" t="s">
        <v>699</v>
      </c>
      <c r="E45" s="754" t="s">
        <v>687</v>
      </c>
      <c r="F45" s="749" t="s">
        <v>695</v>
      </c>
      <c r="G45" s="761">
        <v>49.183303085299457</v>
      </c>
      <c r="H45" s="761">
        <v>12</v>
      </c>
      <c r="I45" s="761">
        <v>590.19963702359348</v>
      </c>
      <c r="J45" s="601">
        <v>30.856000000000002</v>
      </c>
      <c r="K45" s="601">
        <v>18211.2</v>
      </c>
      <c r="L45" s="65">
        <f t="shared" si="5"/>
        <v>1517.6000000000001</v>
      </c>
      <c r="N45" s="760"/>
    </row>
    <row r="46" spans="2:14" s="758" customFormat="1" x14ac:dyDescent="0.3">
      <c r="B46" s="490"/>
      <c r="C46" s="492" t="s">
        <v>700</v>
      </c>
      <c r="E46" s="754" t="s">
        <v>688</v>
      </c>
      <c r="F46" s="749" t="s">
        <v>695</v>
      </c>
      <c r="G46" s="761">
        <v>1338.4754990925589</v>
      </c>
      <c r="H46" s="761">
        <v>3</v>
      </c>
      <c r="I46" s="761">
        <v>4015.4264972776768</v>
      </c>
      <c r="J46" s="601">
        <v>17.632000000000001</v>
      </c>
      <c r="K46" s="601">
        <v>70800</v>
      </c>
      <c r="L46" s="65">
        <f t="shared" si="5"/>
        <v>23600</v>
      </c>
      <c r="N46" s="760"/>
    </row>
    <row r="47" spans="2:14" s="758" customFormat="1" x14ac:dyDescent="0.3">
      <c r="B47" s="490"/>
      <c r="C47" s="492" t="s">
        <v>701</v>
      </c>
      <c r="E47" s="749" t="s">
        <v>690</v>
      </c>
      <c r="F47" s="749" t="s">
        <v>695</v>
      </c>
      <c r="G47" s="761">
        <v>19.28085299455535</v>
      </c>
      <c r="H47" s="761">
        <v>2</v>
      </c>
      <c r="I47" s="761">
        <v>38.561705989110699</v>
      </c>
      <c r="J47" s="601">
        <v>17.632000000000001</v>
      </c>
      <c r="K47" s="601">
        <v>679.91999999999985</v>
      </c>
      <c r="L47" s="65">
        <f t="shared" si="5"/>
        <v>339.95999999999992</v>
      </c>
      <c r="N47" s="760"/>
    </row>
    <row r="48" spans="2:14" s="758" customFormat="1" x14ac:dyDescent="0.3">
      <c r="B48" s="490"/>
      <c r="C48" s="492" t="s">
        <v>702</v>
      </c>
      <c r="E48" s="434" t="s">
        <v>691</v>
      </c>
      <c r="F48" s="749" t="s">
        <v>695</v>
      </c>
      <c r="G48" s="761">
        <v>69.411070780399271</v>
      </c>
      <c r="H48" s="761">
        <v>2</v>
      </c>
      <c r="I48" s="761">
        <v>138.82214156079854</v>
      </c>
      <c r="J48" s="601">
        <v>17.632000000000001</v>
      </c>
      <c r="K48" s="601">
        <v>2447.712</v>
      </c>
      <c r="L48" s="65">
        <f t="shared" si="5"/>
        <v>1223.856</v>
      </c>
      <c r="N48" s="760"/>
    </row>
    <row r="49" spans="2:16" s="758" customFormat="1" x14ac:dyDescent="0.3">
      <c r="B49" s="490"/>
      <c r="C49" s="492" t="s">
        <v>703</v>
      </c>
      <c r="E49" s="434" t="s">
        <v>692</v>
      </c>
      <c r="F49" s="749" t="s">
        <v>695</v>
      </c>
      <c r="G49" s="761">
        <v>52.05830308529945</v>
      </c>
      <c r="H49" s="761">
        <v>2</v>
      </c>
      <c r="I49" s="761">
        <v>104.1166061705989</v>
      </c>
      <c r="J49" s="601">
        <v>17.632000000000001</v>
      </c>
      <c r="K49" s="601">
        <v>1835.7839999999999</v>
      </c>
      <c r="L49" s="65">
        <f t="shared" si="5"/>
        <v>917.89199999999994</v>
      </c>
      <c r="N49" s="760"/>
    </row>
    <row r="50" spans="2:16" s="768" customFormat="1" x14ac:dyDescent="0.3">
      <c r="B50" s="490"/>
      <c r="C50" s="492"/>
      <c r="E50" s="434"/>
      <c r="F50" s="749"/>
      <c r="G50" s="761"/>
      <c r="H50" s="761"/>
      <c r="I50" s="761"/>
      <c r="J50" s="601"/>
      <c r="K50" s="601"/>
      <c r="N50" s="760"/>
    </row>
    <row r="51" spans="2:16" s="758" customFormat="1" x14ac:dyDescent="0.3">
      <c r="B51" s="31" t="s">
        <v>739</v>
      </c>
      <c r="E51" s="738"/>
      <c r="F51" s="204"/>
      <c r="G51" s="204"/>
      <c r="H51" s="204"/>
      <c r="I51" s="204"/>
      <c r="J51" s="204"/>
      <c r="K51" s="490"/>
      <c r="N51" s="760"/>
    </row>
    <row r="52" spans="2:16" s="768" customFormat="1" x14ac:dyDescent="0.3">
      <c r="B52" s="490"/>
      <c r="E52" s="738" t="s">
        <v>591</v>
      </c>
      <c r="F52" s="204" t="s">
        <v>640</v>
      </c>
      <c r="G52" s="204" t="s">
        <v>635</v>
      </c>
      <c r="H52" s="204" t="s">
        <v>638</v>
      </c>
      <c r="I52" s="204" t="s">
        <v>637</v>
      </c>
      <c r="J52" s="204" t="s">
        <v>639</v>
      </c>
      <c r="K52" s="490" t="s">
        <v>636</v>
      </c>
      <c r="L52" s="366" t="s">
        <v>835</v>
      </c>
      <c r="N52" s="760"/>
    </row>
    <row r="53" spans="2:16" s="758" customFormat="1" x14ac:dyDescent="0.3">
      <c r="B53" s="490" t="s">
        <v>36</v>
      </c>
      <c r="C53" s="490" t="s">
        <v>741</v>
      </c>
      <c r="D53" s="490"/>
      <c r="E53" s="738"/>
      <c r="F53" s="204" t="s">
        <v>731</v>
      </c>
      <c r="G53" s="279">
        <v>17.695099818511796</v>
      </c>
      <c r="H53" s="279">
        <v>144</v>
      </c>
      <c r="I53" s="492">
        <v>2548.0943738656988</v>
      </c>
      <c r="J53" s="601">
        <v>2.2040000000000002</v>
      </c>
      <c r="K53" s="601">
        <v>5616.0000000000009</v>
      </c>
      <c r="L53" s="65">
        <f t="shared" ref="L53:L54" si="6">K53/H53</f>
        <v>39.000000000000007</v>
      </c>
      <c r="N53" s="760"/>
    </row>
    <row r="54" spans="2:16" s="758" customFormat="1" x14ac:dyDescent="0.3">
      <c r="B54" s="490" t="s">
        <v>740</v>
      </c>
      <c r="C54" s="758" t="s">
        <v>737</v>
      </c>
      <c r="E54" s="738"/>
      <c r="F54" s="204" t="s">
        <v>737</v>
      </c>
      <c r="G54" s="761">
        <v>260.16333938294008</v>
      </c>
      <c r="H54" s="761">
        <v>5</v>
      </c>
      <c r="I54" s="761">
        <v>1300.8166969147005</v>
      </c>
      <c r="J54" s="601">
        <v>42.294760000000004</v>
      </c>
      <c r="K54" s="601">
        <v>55017.73</v>
      </c>
      <c r="L54" s="65">
        <f t="shared" si="6"/>
        <v>11003.546</v>
      </c>
      <c r="N54" s="760"/>
    </row>
    <row r="55" spans="2:16" s="768" customFormat="1" x14ac:dyDescent="0.3">
      <c r="B55" s="490"/>
      <c r="E55" s="738"/>
      <c r="F55" s="204"/>
      <c r="G55" s="204"/>
      <c r="H55" s="204"/>
      <c r="I55" s="204"/>
      <c r="J55" s="204"/>
      <c r="K55" s="490"/>
      <c r="L55" s="65"/>
      <c r="N55" s="760"/>
    </row>
    <row r="56" spans="2:16" s="758" customFormat="1" x14ac:dyDescent="0.3">
      <c r="B56" s="490" t="s">
        <v>40</v>
      </c>
      <c r="C56" s="758" t="s">
        <v>733</v>
      </c>
      <c r="N56" s="760"/>
    </row>
    <row r="57" spans="2:16" s="768" customFormat="1" x14ac:dyDescent="0.3">
      <c r="B57" s="490"/>
      <c r="E57" s="738" t="s">
        <v>591</v>
      </c>
      <c r="F57" s="204" t="s">
        <v>640</v>
      </c>
      <c r="G57" s="204" t="s">
        <v>635</v>
      </c>
      <c r="H57" s="204" t="s">
        <v>638</v>
      </c>
      <c r="I57" s="204" t="s">
        <v>637</v>
      </c>
      <c r="J57" s="204" t="s">
        <v>744</v>
      </c>
      <c r="K57" s="490" t="s">
        <v>636</v>
      </c>
      <c r="L57" s="366" t="s">
        <v>835</v>
      </c>
      <c r="N57" s="760"/>
    </row>
    <row r="58" spans="2:16" s="758" customFormat="1" x14ac:dyDescent="0.3">
      <c r="C58" s="758" t="s">
        <v>742</v>
      </c>
      <c r="E58" s="492" t="s">
        <v>734</v>
      </c>
      <c r="F58" s="749" t="s">
        <v>733</v>
      </c>
      <c r="G58" s="761">
        <v>45.036297640653359</v>
      </c>
      <c r="H58" s="761">
        <v>2</v>
      </c>
      <c r="I58" s="761">
        <v>90.072595281306718</v>
      </c>
      <c r="J58" s="601">
        <v>9617.76</v>
      </c>
      <c r="K58" s="601">
        <v>19235.52</v>
      </c>
      <c r="L58" s="65">
        <f t="shared" ref="L58" si="7">K58/H58</f>
        <v>9617.76</v>
      </c>
      <c r="N58" s="760"/>
    </row>
    <row r="59" spans="2:16" s="758" customFormat="1" x14ac:dyDescent="0.3">
      <c r="C59" s="492" t="s">
        <v>743</v>
      </c>
      <c r="D59" s="492"/>
      <c r="E59" s="492" t="s">
        <v>716</v>
      </c>
      <c r="F59" s="749" t="s">
        <v>733</v>
      </c>
      <c r="G59" s="761">
        <v>1.9963702359346642</v>
      </c>
      <c r="H59" s="761">
        <v>4</v>
      </c>
      <c r="I59" s="761">
        <v>7.9854809437386569</v>
      </c>
      <c r="J59" s="601">
        <v>3204.8</v>
      </c>
      <c r="K59" s="601">
        <v>12819.2</v>
      </c>
      <c r="L59" s="492"/>
      <c r="M59" s="492"/>
      <c r="N59" s="492"/>
      <c r="O59" s="492"/>
      <c r="P59" s="492"/>
    </row>
    <row r="60" spans="2:16" s="768" customFormat="1" x14ac:dyDescent="0.3">
      <c r="C60" s="492"/>
      <c r="D60" s="492"/>
      <c r="E60" s="492"/>
      <c r="F60" s="749"/>
      <c r="G60" s="761"/>
      <c r="H60" s="761"/>
      <c r="I60" s="761"/>
      <c r="J60" s="601"/>
      <c r="K60" s="601"/>
      <c r="L60" s="492"/>
      <c r="M60" s="492"/>
      <c r="N60" s="492"/>
      <c r="O60" s="492"/>
      <c r="P60" s="492"/>
    </row>
    <row r="61" spans="2:16" s="758" customFormat="1" x14ac:dyDescent="0.3">
      <c r="B61" s="490" t="s">
        <v>42</v>
      </c>
      <c r="C61" s="492" t="s">
        <v>745</v>
      </c>
      <c r="D61" s="492"/>
      <c r="E61" s="492"/>
      <c r="F61" s="749" t="s">
        <v>736</v>
      </c>
      <c r="G61" s="761">
        <v>77.132486388384748</v>
      </c>
      <c r="H61" s="761">
        <v>1</v>
      </c>
      <c r="I61" s="761">
        <v>77.132486388384748</v>
      </c>
      <c r="J61" s="601">
        <v>1400</v>
      </c>
      <c r="K61" s="601">
        <v>1400</v>
      </c>
      <c r="L61" s="65">
        <f t="shared" ref="L61:L63" si="8">K61/H61</f>
        <v>1400</v>
      </c>
      <c r="M61" s="492"/>
      <c r="N61" s="492"/>
      <c r="O61" s="492"/>
      <c r="P61" s="492"/>
    </row>
    <row r="62" spans="2:16" s="758" customFormat="1" x14ac:dyDescent="0.3">
      <c r="B62" s="490" t="s">
        <v>44</v>
      </c>
      <c r="C62" s="492" t="s">
        <v>34</v>
      </c>
      <c r="D62" s="492"/>
      <c r="E62" s="492"/>
      <c r="F62" s="749" t="s">
        <v>34</v>
      </c>
      <c r="G62" s="761">
        <v>1127.4954627949182</v>
      </c>
      <c r="H62" s="761">
        <v>1</v>
      </c>
      <c r="I62" s="761">
        <v>1127.4954627949182</v>
      </c>
      <c r="J62" s="601">
        <v>35000</v>
      </c>
      <c r="K62" s="601">
        <v>35000</v>
      </c>
      <c r="L62" s="65">
        <f t="shared" si="8"/>
        <v>35000</v>
      </c>
      <c r="M62" s="492"/>
      <c r="N62" s="492"/>
      <c r="O62" s="492"/>
      <c r="P62" s="492"/>
    </row>
    <row r="63" spans="2:16" s="758" customFormat="1" x14ac:dyDescent="0.3">
      <c r="B63" s="490" t="s">
        <v>46</v>
      </c>
      <c r="C63" s="492" t="s">
        <v>738</v>
      </c>
      <c r="D63" s="492"/>
      <c r="E63" s="492"/>
      <c r="F63" s="749" t="s">
        <v>747</v>
      </c>
      <c r="G63" s="761">
        <v>952.81306715063511</v>
      </c>
      <c r="H63" s="761">
        <v>1</v>
      </c>
      <c r="I63" s="761">
        <v>952.81306715063511</v>
      </c>
      <c r="J63" s="601">
        <v>40000</v>
      </c>
      <c r="K63" s="601">
        <v>40000</v>
      </c>
      <c r="L63" s="65">
        <f t="shared" si="8"/>
        <v>40000</v>
      </c>
      <c r="M63" s="492"/>
      <c r="N63" s="492"/>
      <c r="O63" s="492"/>
      <c r="P63" s="492"/>
    </row>
    <row r="64" spans="2:16" s="758" customFormat="1" x14ac:dyDescent="0.3">
      <c r="B64" s="490" t="s">
        <v>61</v>
      </c>
      <c r="C64" s="492" t="s">
        <v>746</v>
      </c>
      <c r="D64" s="492"/>
      <c r="E64" s="492"/>
      <c r="F64" s="749" t="s">
        <v>748</v>
      </c>
      <c r="G64" s="761">
        <v>0</v>
      </c>
      <c r="H64" s="761">
        <v>2</v>
      </c>
      <c r="I64" s="761">
        <v>0</v>
      </c>
      <c r="J64" s="601">
        <v>6000</v>
      </c>
      <c r="K64" s="601">
        <v>12000</v>
      </c>
      <c r="L64" s="65">
        <f>K64/H64</f>
        <v>6000</v>
      </c>
      <c r="M64" s="492"/>
      <c r="N64" s="492"/>
      <c r="O64" s="492"/>
      <c r="P64" s="492"/>
    </row>
    <row r="65" spans="2:16" s="758" customFormat="1" x14ac:dyDescent="0.3">
      <c r="B65" s="492"/>
      <c r="C65" s="492"/>
      <c r="D65" s="492"/>
      <c r="E65" s="492"/>
      <c r="F65" s="279"/>
      <c r="G65" s="279"/>
      <c r="H65" s="279"/>
      <c r="I65" s="492"/>
      <c r="J65" s="739"/>
      <c r="K65" s="772"/>
      <c r="L65" s="492"/>
      <c r="M65" s="492"/>
      <c r="N65" s="492"/>
      <c r="O65" s="492"/>
      <c r="P65" s="492"/>
    </row>
    <row r="66" spans="2:16" s="758" customFormat="1" x14ac:dyDescent="0.3">
      <c r="B66" s="492"/>
      <c r="C66" s="492"/>
      <c r="D66" s="492"/>
      <c r="E66" s="492"/>
      <c r="F66" s="279"/>
      <c r="G66" s="279"/>
      <c r="H66" s="279"/>
      <c r="I66" s="492"/>
      <c r="J66" s="739"/>
      <c r="K66" s="772"/>
      <c r="L66" s="492"/>
      <c r="M66" s="492"/>
      <c r="N66" s="492"/>
      <c r="O66" s="492"/>
      <c r="P66" s="492"/>
    </row>
    <row r="67" spans="2:16" s="758" customFormat="1" x14ac:dyDescent="0.3">
      <c r="B67" s="492"/>
      <c r="C67" s="492"/>
      <c r="D67" s="492"/>
      <c r="E67" s="492"/>
      <c r="F67" s="279"/>
      <c r="G67" s="279"/>
      <c r="H67" s="279"/>
      <c r="I67" s="492"/>
      <c r="J67" s="739"/>
      <c r="K67" s="742"/>
      <c r="L67" s="773"/>
      <c r="M67" s="492"/>
      <c r="N67" s="492"/>
      <c r="O67" s="492"/>
      <c r="P67" s="492"/>
    </row>
    <row r="68" spans="2:16" s="758" customFormat="1" x14ac:dyDescent="0.3">
      <c r="B68" s="492"/>
      <c r="C68" s="492"/>
      <c r="D68" s="492"/>
      <c r="E68" s="492"/>
      <c r="F68" s="279"/>
      <c r="G68" s="279"/>
      <c r="H68" s="279"/>
      <c r="I68" s="492"/>
      <c r="J68" s="739"/>
      <c r="K68" s="772"/>
      <c r="L68" s="492"/>
      <c r="M68" s="492"/>
      <c r="N68" s="492"/>
      <c r="O68" s="492"/>
      <c r="P68" s="492"/>
    </row>
    <row r="69" spans="2:16" s="758" customFormat="1" x14ac:dyDescent="0.3">
      <c r="B69" s="492"/>
      <c r="C69" s="492"/>
      <c r="D69" s="492"/>
      <c r="E69" s="492"/>
      <c r="F69" s="279"/>
      <c r="G69" s="279"/>
      <c r="H69" s="279"/>
      <c r="I69" s="492"/>
      <c r="J69" s="739"/>
      <c r="K69" s="741"/>
      <c r="L69" s="492"/>
      <c r="M69" s="492"/>
      <c r="N69" s="492"/>
      <c r="O69" s="492"/>
      <c r="P69" s="492"/>
    </row>
    <row r="70" spans="2:16" s="758" customFormat="1" x14ac:dyDescent="0.3">
      <c r="B70" s="492"/>
      <c r="C70" s="492"/>
      <c r="D70" s="492"/>
      <c r="E70" s="492"/>
      <c r="F70" s="279"/>
      <c r="G70" s="279"/>
      <c r="H70" s="279"/>
      <c r="I70" s="492"/>
      <c r="J70" s="739"/>
      <c r="K70" s="740"/>
      <c r="L70" s="492"/>
      <c r="M70" s="492"/>
      <c r="N70" s="492"/>
      <c r="O70" s="492"/>
      <c r="P70" s="492"/>
    </row>
    <row r="71" spans="2:16" s="758" customFormat="1" x14ac:dyDescent="0.3">
      <c r="B71" s="492"/>
      <c r="C71" s="492"/>
      <c r="D71" s="492"/>
      <c r="E71" s="492"/>
      <c r="F71" s="279"/>
      <c r="G71" s="279"/>
      <c r="H71" s="279"/>
      <c r="I71" s="492"/>
      <c r="J71" s="739"/>
      <c r="K71" s="740"/>
      <c r="L71" s="492"/>
      <c r="M71" s="492"/>
      <c r="N71" s="492"/>
      <c r="O71" s="492"/>
      <c r="P71" s="492"/>
    </row>
    <row r="72" spans="2:16" s="758" customFormat="1" x14ac:dyDescent="0.3">
      <c r="B72" s="492"/>
      <c r="C72" s="492"/>
      <c r="D72" s="492"/>
      <c r="E72" s="492"/>
      <c r="F72" s="279"/>
      <c r="G72" s="279"/>
      <c r="H72" s="279"/>
      <c r="I72" s="492"/>
      <c r="J72" s="739"/>
      <c r="K72" s="740"/>
      <c r="L72" s="492"/>
      <c r="M72" s="492"/>
      <c r="N72" s="492"/>
      <c r="O72" s="492"/>
      <c r="P72" s="492"/>
    </row>
    <row r="73" spans="2:16" s="758" customFormat="1" x14ac:dyDescent="0.3">
      <c r="B73" s="492"/>
      <c r="C73" s="492"/>
      <c r="D73" s="492"/>
      <c r="E73" s="492"/>
      <c r="F73" s="279"/>
      <c r="G73" s="279"/>
      <c r="H73" s="279"/>
      <c r="I73" s="492"/>
      <c r="J73" s="739"/>
      <c r="K73" s="740"/>
      <c r="L73" s="492"/>
      <c r="M73" s="492"/>
      <c r="N73" s="492"/>
      <c r="O73" s="492"/>
      <c r="P73" s="492"/>
    </row>
    <row r="74" spans="2:16" s="758" customFormat="1" x14ac:dyDescent="0.3">
      <c r="B74" s="492"/>
      <c r="C74" s="492"/>
      <c r="D74" s="492"/>
      <c r="E74" s="492"/>
      <c r="F74" s="279"/>
      <c r="G74" s="279"/>
      <c r="H74" s="279"/>
      <c r="I74" s="492"/>
      <c r="J74" s="739"/>
      <c r="K74" s="740"/>
      <c r="L74" s="492"/>
      <c r="M74" s="492"/>
      <c r="N74" s="492"/>
      <c r="O74" s="492"/>
      <c r="P74" s="492"/>
    </row>
    <row r="75" spans="2:16" s="758" customFormat="1" x14ac:dyDescent="0.3">
      <c r="B75" s="492"/>
      <c r="C75" s="492"/>
      <c r="D75" s="492"/>
      <c r="E75" s="209"/>
      <c r="F75" s="366"/>
      <c r="G75" s="366"/>
      <c r="H75" s="366"/>
      <c r="I75" s="366"/>
      <c r="J75" s="366"/>
      <c r="K75" s="492"/>
      <c r="L75" s="492"/>
      <c r="M75" s="492"/>
      <c r="N75" s="492"/>
      <c r="O75" s="492"/>
      <c r="P75" s="492"/>
    </row>
    <row r="76" spans="2:16" s="758" customFormat="1" x14ac:dyDescent="0.3">
      <c r="B76" s="490"/>
      <c r="C76" s="490"/>
      <c r="D76" s="490"/>
      <c r="E76" s="738"/>
      <c r="F76" s="204"/>
      <c r="G76" s="204"/>
      <c r="H76" s="204"/>
      <c r="I76" s="204"/>
      <c r="J76" s="204"/>
      <c r="K76" s="490"/>
      <c r="N76" s="760"/>
    </row>
    <row r="77" spans="2:16" s="758" customFormat="1" x14ac:dyDescent="0.3">
      <c r="B77" s="490"/>
      <c r="C77" s="490"/>
      <c r="D77" s="490"/>
      <c r="E77" s="738"/>
      <c r="F77" s="204"/>
      <c r="G77" s="204"/>
      <c r="H77" s="204"/>
      <c r="I77" s="204"/>
      <c r="J77" s="204"/>
      <c r="K77" s="490"/>
      <c r="N77" s="760"/>
    </row>
    <row r="78" spans="2:16" s="758" customFormat="1" x14ac:dyDescent="0.3">
      <c r="B78" s="490"/>
      <c r="C78" s="490"/>
      <c r="D78" s="490"/>
      <c r="E78" s="738"/>
      <c r="F78" s="204"/>
      <c r="G78" s="204"/>
      <c r="H78" s="204"/>
      <c r="I78" s="204"/>
      <c r="J78" s="204"/>
      <c r="K78" s="490"/>
      <c r="N78" s="760"/>
    </row>
    <row r="79" spans="2:16" s="758" customFormat="1" x14ac:dyDescent="0.3">
      <c r="B79" s="490"/>
      <c r="C79" s="490"/>
      <c r="D79" s="490"/>
      <c r="E79" s="738"/>
      <c r="F79" s="204"/>
      <c r="G79" s="204"/>
      <c r="H79" s="204"/>
      <c r="I79" s="204"/>
      <c r="J79" s="204"/>
      <c r="K79" s="490"/>
      <c r="N79" s="760"/>
    </row>
    <row r="80" spans="2:16" s="758" customFormat="1" x14ac:dyDescent="0.3">
      <c r="B80" s="490"/>
      <c r="C80" s="490"/>
      <c r="D80" s="490"/>
      <c r="E80" s="738"/>
      <c r="F80" s="204"/>
      <c r="G80" s="204"/>
      <c r="H80" s="204"/>
      <c r="I80" s="204"/>
      <c r="J80" s="204"/>
      <c r="K80" s="490"/>
      <c r="N80" s="760"/>
    </row>
    <row r="81" spans="2:20" s="758" customFormat="1" x14ac:dyDescent="0.3">
      <c r="B81" s="490"/>
      <c r="C81" s="490"/>
      <c r="D81" s="490"/>
      <c r="E81" s="738"/>
      <c r="F81" s="204"/>
      <c r="G81" s="204"/>
      <c r="H81" s="204"/>
      <c r="I81" s="204"/>
      <c r="J81" s="204"/>
      <c r="K81" s="490"/>
      <c r="N81" s="760"/>
    </row>
    <row r="82" spans="2:20" s="758" customFormat="1" x14ac:dyDescent="0.3">
      <c r="B82" s="490"/>
      <c r="C82" s="490"/>
      <c r="D82" s="490"/>
      <c r="E82" s="738"/>
      <c r="F82" s="204"/>
      <c r="G82" s="204"/>
      <c r="H82" s="204"/>
      <c r="I82" s="204"/>
      <c r="J82" s="204"/>
      <c r="K82" s="490"/>
      <c r="N82" s="760"/>
    </row>
    <row r="83" spans="2:20" s="758" customFormat="1" x14ac:dyDescent="0.3">
      <c r="B83" s="490"/>
      <c r="C83" s="490"/>
      <c r="D83" s="490"/>
      <c r="E83" s="738"/>
      <c r="F83" s="204"/>
      <c r="G83" s="204"/>
      <c r="H83" s="204"/>
      <c r="I83" s="204"/>
      <c r="J83" s="204"/>
      <c r="K83" s="490"/>
      <c r="N83" s="760"/>
    </row>
    <row r="84" spans="2:20" s="758" customFormat="1" x14ac:dyDescent="0.3">
      <c r="B84" s="490"/>
      <c r="C84" s="490"/>
      <c r="D84" s="490"/>
      <c r="E84" s="738"/>
      <c r="F84" s="204"/>
      <c r="G84" s="204"/>
      <c r="H84" s="204"/>
      <c r="I84" s="204"/>
      <c r="J84" s="204"/>
      <c r="K84" s="490"/>
      <c r="N84" s="760"/>
    </row>
    <row r="85" spans="2:20" s="758" customFormat="1" x14ac:dyDescent="0.3">
      <c r="B85" s="490"/>
      <c r="C85" s="490"/>
      <c r="D85" s="490"/>
      <c r="E85" s="738"/>
      <c r="F85" s="204"/>
      <c r="G85" s="204"/>
      <c r="H85" s="204"/>
      <c r="I85" s="204"/>
      <c r="J85" s="204"/>
      <c r="K85" s="490"/>
      <c r="N85" s="760"/>
    </row>
    <row r="86" spans="2:20" x14ac:dyDescent="0.3">
      <c r="F86" s="474"/>
      <c r="I86" s="400"/>
      <c r="J86" s="474"/>
      <c r="O86" s="492"/>
      <c r="P86" s="492"/>
      <c r="Q86" s="492"/>
      <c r="R86" s="492"/>
      <c r="S86" s="492"/>
      <c r="T86" s="492"/>
    </row>
    <row r="87" spans="2:20" s="758" customFormat="1" x14ac:dyDescent="0.3">
      <c r="F87" s="474"/>
      <c r="I87" s="400"/>
      <c r="J87" s="474"/>
      <c r="O87" s="492"/>
      <c r="P87" s="492"/>
      <c r="Q87" s="492"/>
      <c r="R87" s="492"/>
      <c r="S87" s="492"/>
      <c r="T87" s="492"/>
    </row>
    <row r="88" spans="2:20" s="758" customFormat="1" x14ac:dyDescent="0.3">
      <c r="F88" s="474"/>
      <c r="I88" s="400"/>
      <c r="J88" s="474"/>
      <c r="O88" s="492"/>
      <c r="P88" s="492"/>
      <c r="Q88" s="492"/>
      <c r="R88" s="492"/>
      <c r="S88" s="492"/>
      <c r="T88" s="492"/>
    </row>
    <row r="89" spans="2:20" x14ac:dyDescent="0.3">
      <c r="J89" s="258"/>
      <c r="O89" s="492"/>
      <c r="P89" s="492"/>
      <c r="Q89" s="492"/>
      <c r="R89" s="492"/>
      <c r="S89" s="492"/>
      <c r="T89" s="492"/>
    </row>
    <row r="90" spans="2:20" x14ac:dyDescent="0.3">
      <c r="O90" s="492"/>
      <c r="P90" s="492"/>
      <c r="Q90" s="492"/>
      <c r="R90" s="492"/>
      <c r="S90" s="492"/>
      <c r="T90" s="492"/>
    </row>
    <row r="91" spans="2:20" x14ac:dyDescent="0.3">
      <c r="O91" s="492"/>
      <c r="P91" s="492"/>
      <c r="Q91" s="492"/>
      <c r="R91" s="492"/>
      <c r="S91" s="492"/>
      <c r="T91" s="492"/>
    </row>
    <row r="92" spans="2:20" x14ac:dyDescent="0.3">
      <c r="B92" s="611"/>
      <c r="C92" s="611"/>
      <c r="H92" s="419"/>
      <c r="O92" s="492"/>
      <c r="P92" s="492"/>
      <c r="Q92" s="492"/>
      <c r="R92" s="492"/>
      <c r="S92" s="492"/>
      <c r="T92" s="492"/>
    </row>
    <row r="93" spans="2:20" x14ac:dyDescent="0.3">
      <c r="O93" s="492"/>
      <c r="P93" s="492"/>
      <c r="Q93" s="492"/>
      <c r="R93" s="492"/>
      <c r="S93" s="492"/>
      <c r="T93" s="492"/>
    </row>
    <row r="94" spans="2:20" x14ac:dyDescent="0.3">
      <c r="E94" s="611"/>
      <c r="F94" s="611"/>
      <c r="G94" s="611"/>
      <c r="H94" s="611"/>
      <c r="I94" s="611"/>
      <c r="J94" s="611"/>
      <c r="K94" s="611"/>
      <c r="L94" s="611"/>
      <c r="M94" s="611"/>
      <c r="O94" s="492"/>
      <c r="P94" s="492"/>
      <c r="Q94" s="492"/>
      <c r="R94" s="492"/>
      <c r="S94" s="492"/>
      <c r="T94" s="492"/>
    </row>
    <row r="95" spans="2:20" x14ac:dyDescent="0.3">
      <c r="E95" s="626"/>
      <c r="G95" s="420"/>
      <c r="H95" s="522"/>
      <c r="I95" s="420"/>
      <c r="J95" s="448"/>
      <c r="K95" s="448"/>
      <c r="N95" s="65"/>
      <c r="O95" s="492"/>
      <c r="P95" s="492"/>
      <c r="Q95" s="492"/>
      <c r="R95" s="492"/>
      <c r="S95" s="492"/>
      <c r="T95" s="492"/>
    </row>
    <row r="96" spans="2:20" x14ac:dyDescent="0.3">
      <c r="E96" s="626"/>
      <c r="G96" s="420"/>
      <c r="H96" s="522"/>
      <c r="I96" s="420"/>
      <c r="J96" s="448"/>
      <c r="K96" s="448"/>
      <c r="O96" s="492"/>
      <c r="P96" s="492"/>
      <c r="Q96" s="492"/>
      <c r="R96" s="492"/>
      <c r="S96" s="492"/>
      <c r="T96" s="492"/>
    </row>
    <row r="97" spans="4:20" x14ac:dyDescent="0.3">
      <c r="E97" s="626"/>
      <c r="G97" s="420"/>
      <c r="H97" s="522"/>
      <c r="I97" s="420"/>
      <c r="J97" s="448"/>
      <c r="K97" s="448"/>
      <c r="O97" s="492"/>
      <c r="P97" s="492"/>
      <c r="Q97" s="492"/>
      <c r="R97" s="492"/>
      <c r="S97" s="492"/>
      <c r="T97" s="492"/>
    </row>
    <row r="98" spans="4:20" x14ac:dyDescent="0.3">
      <c r="E98" s="626"/>
      <c r="G98" s="420"/>
      <c r="H98" s="522"/>
      <c r="I98" s="420"/>
      <c r="J98" s="448"/>
      <c r="K98" s="448"/>
      <c r="O98" s="492"/>
      <c r="P98" s="492"/>
      <c r="Q98" s="492"/>
      <c r="R98" s="492"/>
      <c r="S98" s="492"/>
      <c r="T98" s="492"/>
    </row>
    <row r="99" spans="4:20" x14ac:dyDescent="0.3">
      <c r="E99" s="626"/>
      <c r="G99" s="420"/>
      <c r="H99" s="522"/>
      <c r="I99" s="420"/>
      <c r="J99" s="448"/>
      <c r="K99" s="448"/>
      <c r="O99" s="492"/>
      <c r="P99" s="492"/>
      <c r="Q99" s="492"/>
      <c r="R99" s="492"/>
      <c r="S99" s="492"/>
      <c r="T99" s="492"/>
    </row>
    <row r="100" spans="4:20" x14ac:dyDescent="0.3">
      <c r="E100" s="626"/>
      <c r="G100" s="420"/>
      <c r="H100" s="522"/>
      <c r="I100" s="420"/>
      <c r="J100" s="448"/>
      <c r="K100" s="448"/>
    </row>
    <row r="101" spans="4:20" x14ac:dyDescent="0.3">
      <c r="E101" s="626"/>
      <c r="G101" s="420"/>
      <c r="H101" s="522"/>
      <c r="I101" s="420"/>
      <c r="J101" s="448"/>
      <c r="K101" s="448"/>
    </row>
    <row r="102" spans="4:20" x14ac:dyDescent="0.3">
      <c r="E102" s="626"/>
      <c r="G102" s="420"/>
      <c r="H102" s="522"/>
      <c r="I102" s="420"/>
      <c r="J102" s="448"/>
      <c r="K102" s="448"/>
    </row>
    <row r="103" spans="4:20" x14ac:dyDescent="0.3">
      <c r="E103" s="626"/>
      <c r="G103" s="420"/>
      <c r="H103" s="522"/>
      <c r="I103" s="420"/>
      <c r="J103" s="448"/>
      <c r="K103" s="448"/>
    </row>
    <row r="104" spans="4:20" x14ac:dyDescent="0.3">
      <c r="E104" s="626"/>
      <c r="G104" s="420"/>
      <c r="H104" s="522"/>
      <c r="I104" s="420"/>
      <c r="J104" s="448"/>
      <c r="K104" s="448"/>
    </row>
    <row r="105" spans="4:20" x14ac:dyDescent="0.3">
      <c r="E105" s="626"/>
      <c r="G105" s="420"/>
      <c r="H105" s="522"/>
      <c r="I105" s="420"/>
      <c r="J105" s="105"/>
      <c r="K105" s="448"/>
    </row>
    <row r="106" spans="4:20" x14ac:dyDescent="0.3">
      <c r="E106" s="626"/>
      <c r="G106" s="420"/>
      <c r="H106" s="522"/>
      <c r="I106" s="420"/>
      <c r="J106" s="105"/>
      <c r="K106" s="448"/>
    </row>
    <row r="107" spans="4:20" x14ac:dyDescent="0.3">
      <c r="E107" s="626"/>
      <c r="G107" s="420"/>
      <c r="H107" s="522"/>
      <c r="I107" s="420"/>
      <c r="J107" s="448"/>
      <c r="K107" s="448"/>
    </row>
    <row r="108" spans="4:20" x14ac:dyDescent="0.3">
      <c r="D108" s="491"/>
      <c r="E108" s="77"/>
      <c r="G108" s="420"/>
      <c r="H108" s="522"/>
      <c r="I108" s="420"/>
      <c r="J108" s="35"/>
      <c r="K108" s="448"/>
    </row>
    <row r="109" spans="4:20" x14ac:dyDescent="0.3">
      <c r="D109" s="491"/>
      <c r="E109" s="77"/>
      <c r="G109" s="379"/>
      <c r="H109" s="522"/>
      <c r="I109" s="420"/>
      <c r="J109" s="35"/>
      <c r="K109" s="448"/>
    </row>
    <row r="110" spans="4:20" x14ac:dyDescent="0.3">
      <c r="D110" s="491"/>
      <c r="E110" s="77"/>
      <c r="G110" s="379"/>
      <c r="H110" s="522"/>
      <c r="I110" s="420"/>
      <c r="J110" s="35"/>
      <c r="K110" s="448"/>
      <c r="L110" s="491"/>
    </row>
    <row r="111" spans="4:20" x14ac:dyDescent="0.3">
      <c r="D111" s="491"/>
      <c r="E111" s="77"/>
      <c r="G111" s="379"/>
      <c r="H111" s="522"/>
      <c r="I111" s="420"/>
      <c r="J111" s="35"/>
      <c r="K111" s="448"/>
      <c r="L111" s="491"/>
    </row>
    <row r="112" spans="4:20" x14ac:dyDescent="0.3">
      <c r="D112" s="491"/>
      <c r="E112" s="77"/>
      <c r="G112" s="379"/>
      <c r="H112" s="522"/>
      <c r="I112" s="420"/>
      <c r="J112" s="68"/>
      <c r="K112" s="448"/>
    </row>
    <row r="113" spans="2:14" x14ac:dyDescent="0.3">
      <c r="D113" s="491"/>
      <c r="E113" s="77"/>
      <c r="G113" s="379"/>
      <c r="H113" s="522"/>
      <c r="I113" s="420"/>
      <c r="J113" s="68"/>
      <c r="K113" s="448"/>
    </row>
    <row r="114" spans="2:14" x14ac:dyDescent="0.3">
      <c r="D114" s="491"/>
      <c r="E114" s="77"/>
      <c r="G114" s="379"/>
      <c r="H114" s="522"/>
      <c r="I114" s="420"/>
      <c r="J114" s="68"/>
      <c r="K114" s="448"/>
    </row>
    <row r="115" spans="2:14" x14ac:dyDescent="0.3">
      <c r="D115" s="491"/>
      <c r="E115" s="77"/>
      <c r="G115" s="379"/>
      <c r="H115" s="522"/>
      <c r="I115" s="420"/>
      <c r="J115" s="68"/>
      <c r="K115" s="448"/>
    </row>
    <row r="116" spans="2:14" x14ac:dyDescent="0.3">
      <c r="D116" s="491"/>
      <c r="E116" s="77"/>
      <c r="G116" s="379"/>
      <c r="H116" s="522"/>
      <c r="I116" s="420"/>
      <c r="J116" s="68"/>
      <c r="K116" s="448"/>
    </row>
    <row r="117" spans="2:14" x14ac:dyDescent="0.3">
      <c r="D117" s="491"/>
      <c r="E117" s="77"/>
      <c r="G117" s="379"/>
      <c r="H117" s="522"/>
      <c r="I117" s="420"/>
      <c r="J117" s="68"/>
      <c r="K117" s="448"/>
    </row>
    <row r="118" spans="2:14" x14ac:dyDescent="0.3">
      <c r="D118" s="78"/>
      <c r="E118" s="102"/>
      <c r="F118" s="298"/>
      <c r="G118" s="523"/>
      <c r="H118" s="523"/>
      <c r="I118" s="420"/>
      <c r="J118" s="68"/>
      <c r="K118" s="448"/>
    </row>
    <row r="119" spans="2:14" x14ac:dyDescent="0.3">
      <c r="F119" s="474"/>
      <c r="G119" s="399"/>
      <c r="K119" s="448"/>
    </row>
    <row r="120" spans="2:14" x14ac:dyDescent="0.3">
      <c r="B120" s="611"/>
      <c r="C120" s="611"/>
      <c r="G120" s="420"/>
      <c r="K120" s="448"/>
    </row>
    <row r="121" spans="2:14" x14ac:dyDescent="0.3">
      <c r="F121" s="474"/>
      <c r="G121" s="399"/>
      <c r="K121" s="448"/>
    </row>
    <row r="122" spans="2:14" x14ac:dyDescent="0.3">
      <c r="E122" s="611"/>
      <c r="F122" s="611"/>
      <c r="G122" s="611"/>
      <c r="H122" s="611"/>
      <c r="I122" s="611"/>
      <c r="J122" s="611"/>
      <c r="K122" s="611"/>
      <c r="L122" s="611"/>
      <c r="N122" s="611"/>
    </row>
    <row r="123" spans="2:14" x14ac:dyDescent="0.3">
      <c r="E123" s="626"/>
      <c r="G123" s="413"/>
      <c r="H123" s="521"/>
      <c r="I123" s="420"/>
      <c r="J123" s="448"/>
      <c r="K123" s="448"/>
      <c r="L123" s="420"/>
    </row>
    <row r="124" spans="2:14" x14ac:dyDescent="0.3">
      <c r="E124" s="626"/>
      <c r="G124" s="413"/>
      <c r="H124" s="521"/>
      <c r="I124" s="420"/>
      <c r="J124" s="448"/>
      <c r="K124" s="448"/>
      <c r="L124" s="420"/>
    </row>
    <row r="125" spans="2:14" x14ac:dyDescent="0.3">
      <c r="E125" s="626"/>
      <c r="G125" s="413"/>
      <c r="H125" s="521"/>
      <c r="I125" s="420"/>
      <c r="J125" s="448"/>
      <c r="K125" s="448"/>
      <c r="L125" s="420"/>
    </row>
    <row r="126" spans="2:14" x14ac:dyDescent="0.3">
      <c r="E126" s="626"/>
      <c r="G126" s="413"/>
      <c r="H126" s="521"/>
      <c r="I126" s="420"/>
      <c r="J126" s="448"/>
      <c r="K126" s="448"/>
      <c r="L126" s="420"/>
    </row>
    <row r="127" spans="2:14" x14ac:dyDescent="0.3">
      <c r="E127" s="626"/>
      <c r="G127" s="413"/>
      <c r="H127" s="521"/>
      <c r="I127" s="420"/>
      <c r="J127" s="448"/>
      <c r="K127" s="448"/>
      <c r="L127" s="420"/>
    </row>
    <row r="128" spans="2:14" ht="15" customHeight="1" x14ac:dyDescent="0.3">
      <c r="D128" s="75"/>
      <c r="E128" s="626"/>
      <c r="F128" s="75"/>
      <c r="G128" s="413"/>
      <c r="H128" s="521"/>
      <c r="I128" s="420"/>
      <c r="J128" s="448"/>
      <c r="K128" s="448"/>
      <c r="L128" s="420"/>
    </row>
    <row r="129" spans="4:12" ht="15" customHeight="1" x14ac:dyDescent="0.3">
      <c r="E129" s="626"/>
      <c r="G129" s="413"/>
      <c r="H129" s="521"/>
      <c r="I129" s="420"/>
      <c r="J129" s="448"/>
      <c r="K129" s="448"/>
      <c r="L129" s="420"/>
    </row>
    <row r="130" spans="4:12" ht="15" customHeight="1" x14ac:dyDescent="0.3">
      <c r="D130" s="75"/>
      <c r="E130" s="626"/>
      <c r="F130" s="75"/>
      <c r="G130" s="413"/>
      <c r="H130" s="521"/>
      <c r="I130" s="420"/>
      <c r="J130" s="448"/>
      <c r="K130" s="448"/>
      <c r="L130" s="420"/>
    </row>
    <row r="131" spans="4:12" x14ac:dyDescent="0.3">
      <c r="E131" s="626"/>
      <c r="G131" s="413"/>
      <c r="H131" s="521"/>
      <c r="I131" s="420"/>
      <c r="J131" s="448"/>
      <c r="K131" s="448"/>
      <c r="L131" s="420"/>
    </row>
    <row r="132" spans="4:12" x14ac:dyDescent="0.3">
      <c r="E132" s="626"/>
      <c r="G132" s="413"/>
      <c r="H132" s="521"/>
      <c r="I132" s="420"/>
      <c r="J132" s="448"/>
      <c r="K132" s="448"/>
      <c r="L132" s="420"/>
    </row>
    <row r="133" spans="4:12" x14ac:dyDescent="0.3">
      <c r="E133" s="626"/>
      <c r="G133" s="413"/>
      <c r="H133" s="521"/>
      <c r="I133" s="420"/>
      <c r="J133" s="105"/>
      <c r="K133" s="448"/>
      <c r="L133" s="420"/>
    </row>
    <row r="134" spans="4:12" x14ac:dyDescent="0.3">
      <c r="E134" s="626"/>
      <c r="G134" s="413"/>
      <c r="H134" s="521"/>
      <c r="I134" s="420"/>
      <c r="J134" s="105"/>
      <c r="K134" s="448"/>
      <c r="L134" s="420"/>
    </row>
    <row r="135" spans="4:12" ht="16.5" customHeight="1" x14ac:dyDescent="0.3">
      <c r="E135" s="626"/>
      <c r="F135" s="491"/>
      <c r="G135" s="413"/>
      <c r="H135" s="521"/>
      <c r="I135" s="420"/>
      <c r="J135" s="448"/>
      <c r="K135" s="448"/>
      <c r="L135" s="420"/>
    </row>
    <row r="136" spans="4:12" ht="18" customHeight="1" x14ac:dyDescent="0.3">
      <c r="E136" s="77"/>
      <c r="F136" s="491"/>
      <c r="G136" s="413"/>
      <c r="H136" s="521"/>
      <c r="I136" s="420"/>
      <c r="J136" s="35"/>
      <c r="K136" s="448"/>
      <c r="L136" s="420"/>
    </row>
    <row r="137" spans="4:12" x14ac:dyDescent="0.3">
      <c r="E137" s="77"/>
      <c r="G137" s="413"/>
      <c r="H137" s="521"/>
      <c r="I137" s="420"/>
      <c r="J137" s="35"/>
      <c r="K137" s="448"/>
      <c r="L137" s="420"/>
    </row>
    <row r="138" spans="4:12" x14ac:dyDescent="0.3">
      <c r="E138" s="77"/>
      <c r="G138" s="413"/>
      <c r="H138" s="521"/>
      <c r="I138" s="420"/>
      <c r="J138" s="35"/>
      <c r="K138" s="448"/>
      <c r="L138" s="420"/>
    </row>
    <row r="139" spans="4:12" x14ac:dyDescent="0.3">
      <c r="E139" s="77"/>
      <c r="G139" s="413"/>
      <c r="H139" s="413"/>
      <c r="I139" s="420"/>
      <c r="J139" s="35"/>
      <c r="K139" s="448"/>
      <c r="L139" s="420"/>
    </row>
    <row r="140" spans="4:12" x14ac:dyDescent="0.3">
      <c r="E140" s="77"/>
      <c r="G140" s="413"/>
      <c r="H140" s="413"/>
      <c r="I140" s="420"/>
      <c r="J140" s="68"/>
      <c r="K140" s="448"/>
      <c r="L140" s="420"/>
    </row>
    <row r="141" spans="4:12" x14ac:dyDescent="0.3">
      <c r="D141" s="491"/>
      <c r="E141" s="77"/>
      <c r="G141" s="413"/>
      <c r="H141" s="413"/>
      <c r="I141" s="420"/>
      <c r="J141" s="68"/>
      <c r="K141" s="448"/>
      <c r="L141" s="420"/>
    </row>
    <row r="142" spans="4:12" x14ac:dyDescent="0.3">
      <c r="D142" s="491"/>
      <c r="E142" s="77"/>
      <c r="G142" s="413"/>
      <c r="H142" s="413"/>
      <c r="I142" s="420"/>
      <c r="J142" s="68"/>
      <c r="K142" s="448"/>
      <c r="L142" s="420"/>
    </row>
    <row r="143" spans="4:12" x14ac:dyDescent="0.3">
      <c r="D143" s="491"/>
      <c r="E143" s="77"/>
      <c r="G143" s="413"/>
      <c r="H143" s="522"/>
      <c r="I143" s="420"/>
      <c r="J143" s="68"/>
      <c r="K143" s="448"/>
      <c r="L143" s="420"/>
    </row>
    <row r="144" spans="4:12" x14ac:dyDescent="0.3">
      <c r="D144" s="491"/>
      <c r="E144" s="77"/>
      <c r="G144" s="413"/>
      <c r="H144" s="522"/>
      <c r="I144" s="420"/>
      <c r="J144" s="68"/>
      <c r="K144" s="448"/>
      <c r="L144" s="420"/>
    </row>
    <row r="145" spans="1:12" x14ac:dyDescent="0.3">
      <c r="G145" s="420"/>
      <c r="H145" s="440"/>
      <c r="I145" s="379"/>
      <c r="J145" s="68"/>
      <c r="K145" s="379"/>
      <c r="L145" s="379"/>
    </row>
    <row r="146" spans="1:12" x14ac:dyDescent="0.3">
      <c r="D146" s="298"/>
      <c r="E146" s="298"/>
      <c r="F146" s="298"/>
      <c r="G146" s="97"/>
      <c r="H146" s="97"/>
      <c r="I146" s="379"/>
      <c r="J146" s="68"/>
      <c r="K146" s="379"/>
      <c r="L146" s="379"/>
    </row>
    <row r="147" spans="1:12" x14ac:dyDescent="0.3">
      <c r="G147" s="420"/>
      <c r="H147" s="440"/>
      <c r="I147" s="379"/>
      <c r="J147" s="68"/>
      <c r="K147" s="379"/>
      <c r="L147" s="379"/>
    </row>
    <row r="148" spans="1:12" x14ac:dyDescent="0.3">
      <c r="A148" s="611"/>
      <c r="E148" s="420"/>
      <c r="F148" s="440"/>
      <c r="G148" s="379"/>
      <c r="H148" s="68"/>
      <c r="I148" s="324"/>
    </row>
    <row r="149" spans="1:12" x14ac:dyDescent="0.3">
      <c r="A149" s="611"/>
      <c r="E149" s="420"/>
      <c r="F149" s="440"/>
      <c r="G149" s="379"/>
      <c r="H149" s="68"/>
      <c r="I149" s="324"/>
    </row>
    <row r="150" spans="1:12" x14ac:dyDescent="0.3">
      <c r="A150" s="611"/>
      <c r="B150" s="620"/>
      <c r="E150" s="420"/>
      <c r="F150" s="440"/>
      <c r="G150" s="379"/>
      <c r="H150" s="68"/>
      <c r="I150" s="324"/>
    </row>
    <row r="151" spans="1:12" x14ac:dyDescent="0.3">
      <c r="E151" s="420"/>
      <c r="F151" s="440"/>
      <c r="G151" s="379"/>
      <c r="H151" s="68"/>
      <c r="I151" s="324"/>
    </row>
    <row r="152" spans="1:12" x14ac:dyDescent="0.3">
      <c r="A152" s="611"/>
      <c r="E152" s="420"/>
      <c r="F152" s="440"/>
      <c r="G152" s="379"/>
      <c r="H152" s="68"/>
      <c r="I152" s="324"/>
    </row>
    <row r="153" spans="1:12" x14ac:dyDescent="0.3">
      <c r="A153" s="611"/>
      <c r="E153" s="420"/>
      <c r="F153" s="440"/>
      <c r="G153" s="379"/>
      <c r="H153" s="68"/>
      <c r="I153" s="324"/>
    </row>
    <row r="154" spans="1:12" x14ac:dyDescent="0.3">
      <c r="A154" s="611"/>
      <c r="E154" s="420"/>
      <c r="F154" s="440"/>
      <c r="G154" s="379"/>
      <c r="H154" s="68"/>
      <c r="I154" s="324"/>
    </row>
    <row r="155" spans="1:12" x14ac:dyDescent="0.3">
      <c r="A155" s="611"/>
      <c r="E155" s="420"/>
      <c r="F155" s="440"/>
      <c r="G155" s="379"/>
      <c r="H155" s="68"/>
      <c r="I155" s="324"/>
    </row>
    <row r="156" spans="1:12" x14ac:dyDescent="0.3">
      <c r="A156" s="611"/>
      <c r="E156" s="420"/>
      <c r="F156" s="440"/>
      <c r="G156" s="379"/>
      <c r="H156" s="68"/>
      <c r="I156" s="324"/>
    </row>
    <row r="157" spans="1:12" x14ac:dyDescent="0.3">
      <c r="A157" s="611"/>
      <c r="E157" s="420"/>
      <c r="F157" s="440"/>
      <c r="G157" s="379"/>
      <c r="H157" s="68"/>
      <c r="I157" s="324"/>
    </row>
    <row r="158" spans="1:12" x14ac:dyDescent="0.3">
      <c r="A158" s="611"/>
      <c r="E158" s="420"/>
      <c r="F158" s="440"/>
      <c r="G158" s="379"/>
      <c r="H158" s="68"/>
      <c r="I158" s="324"/>
    </row>
    <row r="159" spans="1:12" x14ac:dyDescent="0.3">
      <c r="A159" s="611"/>
      <c r="E159" s="420"/>
      <c r="F159" s="440"/>
      <c r="G159" s="379"/>
      <c r="H159" s="68"/>
      <c r="I159" s="324"/>
    </row>
    <row r="160" spans="1:12" x14ac:dyDescent="0.3">
      <c r="A160" s="611"/>
      <c r="E160" s="420"/>
      <c r="F160" s="440"/>
      <c r="G160" s="379"/>
      <c r="H160" s="68"/>
      <c r="I160" s="324"/>
    </row>
    <row r="161" spans="1:9" x14ac:dyDescent="0.3">
      <c r="A161" s="611"/>
      <c r="E161" s="420"/>
      <c r="F161" s="440"/>
      <c r="G161" s="379"/>
      <c r="H161" s="68"/>
      <c r="I161" s="324"/>
    </row>
    <row r="162" spans="1:9" x14ac:dyDescent="0.3">
      <c r="A162" s="611"/>
      <c r="E162" s="420"/>
      <c r="F162" s="440"/>
      <c r="G162" s="379"/>
      <c r="H162" s="68"/>
      <c r="I162" s="324"/>
    </row>
    <row r="163" spans="1:9" x14ac:dyDescent="0.3">
      <c r="A163" s="611"/>
      <c r="E163" s="420"/>
      <c r="F163" s="440"/>
      <c r="G163" s="379"/>
      <c r="H163" s="68"/>
      <c r="I163" s="324"/>
    </row>
    <row r="164" spans="1:9" x14ac:dyDescent="0.3">
      <c r="A164" s="611"/>
      <c r="E164" s="420"/>
      <c r="F164" s="440"/>
      <c r="G164" s="379"/>
      <c r="H164" s="68"/>
      <c r="I164" s="324"/>
    </row>
    <row r="165" spans="1:9" x14ac:dyDescent="0.3">
      <c r="A165" s="611"/>
      <c r="E165" s="420"/>
      <c r="F165" s="440"/>
      <c r="G165" s="379"/>
      <c r="H165" s="68"/>
      <c r="I165" s="324"/>
    </row>
    <row r="166" spans="1:9" x14ac:dyDescent="0.3">
      <c r="A166" s="611"/>
      <c r="B166" s="491"/>
      <c r="E166" s="420"/>
      <c r="F166" s="440"/>
      <c r="G166" s="379"/>
      <c r="H166" s="68"/>
      <c r="I166" s="324"/>
    </row>
    <row r="167" spans="1:9" x14ac:dyDescent="0.3">
      <c r="A167" s="611"/>
      <c r="B167" s="491"/>
      <c r="E167" s="420"/>
      <c r="F167" s="440"/>
      <c r="G167" s="379"/>
      <c r="H167" s="68"/>
      <c r="I167" s="324"/>
    </row>
    <row r="168" spans="1:9" x14ac:dyDescent="0.3">
      <c r="A168" s="611"/>
      <c r="B168" s="491"/>
      <c r="D168" s="491"/>
      <c r="E168" s="420"/>
      <c r="F168" s="440"/>
      <c r="G168" s="379"/>
      <c r="H168" s="68"/>
      <c r="I168" s="324"/>
    </row>
    <row r="169" spans="1:9" x14ac:dyDescent="0.3">
      <c r="A169" s="611"/>
      <c r="B169" s="491"/>
      <c r="D169" s="491"/>
      <c r="E169" s="420"/>
      <c r="F169" s="440"/>
      <c r="G169" s="379"/>
      <c r="H169" s="68"/>
      <c r="I169" s="324"/>
    </row>
    <row r="170" spans="1:9" x14ac:dyDescent="0.3">
      <c r="A170" s="611"/>
      <c r="B170" s="491"/>
      <c r="E170" s="420"/>
      <c r="F170" s="440"/>
      <c r="G170" s="379"/>
      <c r="H170" s="68"/>
      <c r="I170" s="324"/>
    </row>
    <row r="171" spans="1:9" x14ac:dyDescent="0.3">
      <c r="B171" s="491"/>
      <c r="E171" s="420"/>
      <c r="F171" s="440"/>
      <c r="G171" s="379"/>
      <c r="H171" s="68"/>
    </row>
    <row r="172" spans="1:9" ht="15.6" x14ac:dyDescent="0.3">
      <c r="B172" s="491"/>
      <c r="E172" s="281"/>
      <c r="F172" s="282"/>
      <c r="G172" s="283"/>
      <c r="H172" s="284"/>
    </row>
    <row r="173" spans="1:9" ht="15.6" x14ac:dyDescent="0.3">
      <c r="B173" s="491"/>
      <c r="E173" s="281"/>
      <c r="F173" s="282"/>
      <c r="G173" s="283"/>
      <c r="H173" s="284"/>
    </row>
    <row r="174" spans="1:9" ht="15.6" x14ac:dyDescent="0.3">
      <c r="B174" s="491"/>
      <c r="E174" s="281"/>
      <c r="F174" s="282"/>
      <c r="G174" s="283"/>
      <c r="H174" s="284"/>
    </row>
    <row r="175" spans="1:9" ht="15.6" x14ac:dyDescent="0.3">
      <c r="B175" s="491"/>
      <c r="D175" s="76"/>
      <c r="E175" s="281"/>
      <c r="F175" s="282"/>
      <c r="G175" s="283"/>
      <c r="H175" s="284"/>
    </row>
    <row r="176" spans="1:9" ht="15.6" x14ac:dyDescent="0.3">
      <c r="A176" s="611"/>
      <c r="B176" s="76"/>
      <c r="D176" s="76"/>
      <c r="E176" s="281"/>
      <c r="F176" s="282"/>
      <c r="G176" s="283"/>
      <c r="H176" s="284"/>
    </row>
    <row r="177" spans="1:8" ht="15.6" x14ac:dyDescent="0.3">
      <c r="A177" s="611"/>
      <c r="B177" s="620"/>
      <c r="F177" s="282"/>
      <c r="G177" s="283"/>
      <c r="H177" s="284"/>
    </row>
    <row r="178" spans="1:8" ht="15.6" x14ac:dyDescent="0.3">
      <c r="A178" s="611"/>
      <c r="F178" s="282"/>
      <c r="G178" s="283"/>
      <c r="H178" s="284"/>
    </row>
    <row r="180" spans="1:8" x14ac:dyDescent="0.3">
      <c r="A180" s="611"/>
    </row>
    <row r="181" spans="1:8" ht="15.6" x14ac:dyDescent="0.3">
      <c r="E181" s="281"/>
    </row>
    <row r="182" spans="1:8" ht="15.6" x14ac:dyDescent="0.3">
      <c r="E182" s="281"/>
    </row>
    <row r="183" spans="1:8" ht="15.6" x14ac:dyDescent="0.3">
      <c r="E183" s="281"/>
    </row>
    <row r="184" spans="1:8" ht="15.6" x14ac:dyDescent="0.3">
      <c r="E184" s="281"/>
    </row>
    <row r="185" spans="1:8" ht="15.6" x14ac:dyDescent="0.3">
      <c r="E185" s="281"/>
    </row>
    <row r="186" spans="1:8" ht="15.6" x14ac:dyDescent="0.3">
      <c r="E186" s="281"/>
    </row>
    <row r="187" spans="1:8" ht="15.6" x14ac:dyDescent="0.3">
      <c r="E187" s="281"/>
    </row>
    <row r="188" spans="1:8" ht="15.6" x14ac:dyDescent="0.3">
      <c r="E188" s="281"/>
    </row>
    <row r="189" spans="1:8" ht="15.6" x14ac:dyDescent="0.3">
      <c r="E189" s="281"/>
    </row>
    <row r="190" spans="1:8" ht="15.6" x14ac:dyDescent="0.3">
      <c r="E190" s="281"/>
    </row>
    <row r="194" spans="2:4" x14ac:dyDescent="0.3">
      <c r="B194" s="491"/>
    </row>
    <row r="195" spans="2:4" x14ac:dyDescent="0.3">
      <c r="B195" s="491"/>
    </row>
    <row r="196" spans="2:4" x14ac:dyDescent="0.3">
      <c r="B196" s="491"/>
      <c r="D196" s="491"/>
    </row>
    <row r="197" spans="2:4" x14ac:dyDescent="0.3">
      <c r="B197" s="491"/>
      <c r="D197" s="491"/>
    </row>
    <row r="198" spans="2:4" x14ac:dyDescent="0.3">
      <c r="B198" s="491"/>
    </row>
    <row r="199" spans="2:4" x14ac:dyDescent="0.3">
      <c r="B199" s="491"/>
    </row>
    <row r="200" spans="2:4" x14ac:dyDescent="0.3">
      <c r="B200" s="491"/>
    </row>
    <row r="201" spans="2:4" x14ac:dyDescent="0.3">
      <c r="B201" s="491"/>
    </row>
    <row r="202" spans="2:4" x14ac:dyDescent="0.3">
      <c r="B202" s="491"/>
    </row>
  </sheetData>
  <mergeCells count="2">
    <mergeCell ref="B4:C4"/>
    <mergeCell ref="B5:C5"/>
  </mergeCells>
  <dataValidations count="3">
    <dataValidation showInputMessage="1" showErrorMessage="1" sqref="E4:E8"/>
    <dataValidation type="list" showInputMessage="1" showErrorMessage="1" sqref="D148:D152 D175:D176">
      <formula1>#REF!</formula1>
    </dataValidation>
    <dataValidation type="list" showInputMessage="1" showErrorMessage="1" sqref="F123:F147 F95:F118">
      <formula1>$E$4:$E$12</formula1>
    </dataValidation>
  </dataValidations>
  <pageMargins left="0.7" right="0.7" top="0.75" bottom="0.75" header="0.3" footer="0.3"/>
  <pageSetup orientation="portrait"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L16"/>
  <sheetViews>
    <sheetView zoomScale="70" zoomScaleNormal="70" zoomScalePageLayoutView="70" workbookViewId="0">
      <selection activeCell="F25" sqref="F25"/>
    </sheetView>
  </sheetViews>
  <sheetFormatPr defaultColWidth="8.88671875" defaultRowHeight="14.4" x14ac:dyDescent="0.3"/>
  <cols>
    <col min="1" max="1" width="5.6640625" customWidth="1"/>
    <col min="4" max="4" width="26" customWidth="1"/>
    <col min="5" max="8" width="22.88671875" bestFit="1" customWidth="1"/>
  </cols>
  <sheetData>
    <row r="1" spans="1:12" x14ac:dyDescent="0.25">
      <c r="A1" s="59" t="s">
        <v>157</v>
      </c>
    </row>
    <row r="2" spans="1:12" x14ac:dyDescent="0.25">
      <c r="E2" s="65"/>
      <c r="F2" s="65"/>
      <c r="G2" s="65"/>
      <c r="H2" s="65"/>
    </row>
    <row r="3" spans="1:12" x14ac:dyDescent="0.25">
      <c r="E3">
        <v>1</v>
      </c>
      <c r="F3">
        <v>10</v>
      </c>
      <c r="G3">
        <v>50</v>
      </c>
      <c r="H3">
        <v>100</v>
      </c>
    </row>
    <row r="4" spans="1:12" x14ac:dyDescent="0.25">
      <c r="B4" s="66"/>
      <c r="D4" t="s">
        <v>467</v>
      </c>
      <c r="E4" s="420">
        <f>'CBS (Total)'!J24+'CBS (Total)'!J29</f>
        <v>9319727.9120071717</v>
      </c>
      <c r="F4" s="420">
        <f>'CBS (Total)'!L24+'CBS (Total)'!L29</f>
        <v>63765899.20346991</v>
      </c>
      <c r="G4" s="420">
        <f>'CBS (Total)'!N24+'CBS (Total)'!N29</f>
        <v>273433564.77592671</v>
      </c>
      <c r="H4" s="420">
        <f>'CBS (Total)'!P24+'CBS (Total)'!P29</f>
        <v>523674871.06201106</v>
      </c>
      <c r="J4" s="420"/>
      <c r="L4" s="420"/>
    </row>
    <row r="5" spans="1:12" x14ac:dyDescent="0.25">
      <c r="B5" s="66"/>
      <c r="E5" s="383">
        <v>0.1</v>
      </c>
      <c r="F5" s="383">
        <v>0.1</v>
      </c>
      <c r="G5" s="383">
        <v>0.1</v>
      </c>
      <c r="H5" s="383">
        <v>0.1</v>
      </c>
    </row>
    <row r="7" spans="1:12" s="619" customFormat="1" x14ac:dyDescent="0.25">
      <c r="D7" s="298" t="s">
        <v>99</v>
      </c>
      <c r="E7" s="97">
        <f>E4*E5</f>
        <v>931972.79120071721</v>
      </c>
      <c r="F7" s="97">
        <f t="shared" ref="F7:H7" si="0">F4*F5</f>
        <v>6376589.9203469912</v>
      </c>
      <c r="G7" s="97">
        <f t="shared" si="0"/>
        <v>27343356.477592673</v>
      </c>
      <c r="H7" s="97">
        <f t="shared" si="0"/>
        <v>52367487.106201112</v>
      </c>
    </row>
    <row r="8" spans="1:12" s="619" customFormat="1" x14ac:dyDescent="0.25">
      <c r="E8" s="65" t="s">
        <v>158</v>
      </c>
      <c r="F8" s="65" t="s">
        <v>158</v>
      </c>
      <c r="G8" s="65" t="s">
        <v>158</v>
      </c>
      <c r="H8" s="65" t="s">
        <v>158</v>
      </c>
    </row>
    <row r="10" spans="1:12" s="263" customFormat="1" x14ac:dyDescent="0.25">
      <c r="A10" s="183" t="s">
        <v>216</v>
      </c>
      <c r="E10" s="64"/>
      <c r="F10" s="64"/>
      <c r="G10" s="64"/>
      <c r="H10" s="64"/>
    </row>
    <row r="11" spans="1:12" s="263" customFormat="1" x14ac:dyDescent="0.25">
      <c r="A11" s="263">
        <v>1.6</v>
      </c>
      <c r="B11" s="325" t="s">
        <v>86</v>
      </c>
      <c r="E11" s="64"/>
      <c r="F11" s="64"/>
      <c r="G11" s="64"/>
      <c r="H11" s="64"/>
    </row>
    <row r="12" spans="1:12" s="263" customFormat="1" x14ac:dyDescent="0.25">
      <c r="B12" s="325" t="s">
        <v>87</v>
      </c>
    </row>
    <row r="13" spans="1:12" s="263" customFormat="1" x14ac:dyDescent="0.25">
      <c r="B13" s="326" t="s">
        <v>231</v>
      </c>
    </row>
    <row r="14" spans="1:12" s="263" customFormat="1" x14ac:dyDescent="0.25"/>
    <row r="15" spans="1:12" s="263" customFormat="1" x14ac:dyDescent="0.25">
      <c r="A15" s="183" t="s">
        <v>213</v>
      </c>
    </row>
    <row r="16" spans="1:12" s="263" customFormat="1" x14ac:dyDescent="0.25">
      <c r="A16" s="263">
        <v>1.6</v>
      </c>
      <c r="B16" s="263" t="s">
        <v>217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23"/>
  <sheetViews>
    <sheetView workbookViewId="0">
      <selection activeCell="K199" sqref="K199"/>
    </sheetView>
  </sheetViews>
  <sheetFormatPr defaultColWidth="8.88671875" defaultRowHeight="14.4" x14ac:dyDescent="0.3"/>
  <cols>
    <col min="1" max="1" width="16.44140625" customWidth="1"/>
    <col min="2" max="2" width="15" customWidth="1"/>
    <col min="3" max="3" width="14.6640625" customWidth="1"/>
    <col min="4" max="4" width="16.33203125" customWidth="1"/>
  </cols>
  <sheetData>
    <row r="2" spans="1:6" ht="15" x14ac:dyDescent="0.25">
      <c r="A2" t="s">
        <v>203</v>
      </c>
      <c r="B2">
        <v>1</v>
      </c>
      <c r="C2">
        <v>10</v>
      </c>
      <c r="D2">
        <v>50</v>
      </c>
      <c r="E2">
        <v>100</v>
      </c>
    </row>
    <row r="3" spans="1:6" ht="15" x14ac:dyDescent="0.25">
      <c r="A3" t="s">
        <v>204</v>
      </c>
      <c r="B3">
        <f>'CBS ($ per kW)'!J1</f>
        <v>373</v>
      </c>
      <c r="C3" s="247">
        <f>'CBS ($ per kW)'!L1</f>
        <v>3730</v>
      </c>
      <c r="D3" s="247">
        <f>'CBS ($ per kW)'!N1</f>
        <v>18650</v>
      </c>
      <c r="E3" s="247">
        <f>'CBS ($ per kW)'!P1</f>
        <v>37300</v>
      </c>
      <c r="F3" s="247"/>
    </row>
    <row r="4" spans="1:6" ht="15" x14ac:dyDescent="0.25">
      <c r="A4" s="247" t="s">
        <v>205</v>
      </c>
      <c r="B4">
        <f>B3/1000</f>
        <v>0.373</v>
      </c>
      <c r="C4" s="247">
        <f t="shared" ref="C4:E4" si="0">C3/1000</f>
        <v>3.73</v>
      </c>
      <c r="D4" s="247">
        <f t="shared" si="0"/>
        <v>18.649999999999999</v>
      </c>
      <c r="E4" s="247">
        <f t="shared" si="0"/>
        <v>37.299999999999997</v>
      </c>
    </row>
    <row r="26" s="263" customFormat="1" x14ac:dyDescent="0.3"/>
    <row r="27" s="263" customFormat="1" x14ac:dyDescent="0.3"/>
    <row r="28" s="263" customFormat="1" x14ac:dyDescent="0.3"/>
    <row r="29" s="263" customFormat="1" x14ac:dyDescent="0.3"/>
    <row r="30" s="263" customFormat="1" x14ac:dyDescent="0.3"/>
    <row r="31" s="263" customFormat="1" x14ac:dyDescent="0.3"/>
    <row r="32" s="263" customFormat="1" x14ac:dyDescent="0.3"/>
    <row r="33" s="263" customFormat="1" x14ac:dyDescent="0.3"/>
    <row r="34" s="263" customFormat="1" x14ac:dyDescent="0.3"/>
    <row r="35" s="263" customFormat="1" x14ac:dyDescent="0.3"/>
    <row r="36" s="263" customFormat="1" x14ac:dyDescent="0.3"/>
    <row r="37" s="263" customFormat="1" x14ac:dyDescent="0.3"/>
    <row r="38" s="263" customFormat="1" x14ac:dyDescent="0.3"/>
    <row r="39" s="263" customFormat="1" x14ac:dyDescent="0.3"/>
    <row r="40" s="263" customFormat="1" x14ac:dyDescent="0.3"/>
    <row r="41" s="263" customFormat="1" x14ac:dyDescent="0.3"/>
    <row r="42" s="263" customFormat="1" x14ac:dyDescent="0.3"/>
    <row r="43" s="263" customFormat="1" x14ac:dyDescent="0.3"/>
    <row r="44" s="263" customFormat="1" x14ac:dyDescent="0.3"/>
    <row r="45" s="263" customFormat="1" x14ac:dyDescent="0.3"/>
    <row r="46" s="263" customFormat="1" x14ac:dyDescent="0.3"/>
    <row r="47" s="263" customFormat="1" x14ac:dyDescent="0.3"/>
    <row r="48" s="263" customFormat="1" x14ac:dyDescent="0.3"/>
    <row r="49" s="263" customFormat="1" x14ac:dyDescent="0.3"/>
    <row r="50" s="263" customFormat="1" x14ac:dyDescent="0.3"/>
    <row r="51" s="263" customFormat="1" x14ac:dyDescent="0.3"/>
    <row r="52" s="263" customFormat="1" x14ac:dyDescent="0.3"/>
    <row r="53" s="263" customFormat="1" x14ac:dyDescent="0.3"/>
    <row r="54" s="263" customFormat="1" x14ac:dyDescent="0.3"/>
    <row r="55" s="263" customFormat="1" x14ac:dyDescent="0.3"/>
    <row r="56" s="263" customFormat="1" x14ac:dyDescent="0.3"/>
    <row r="57" s="263" customFormat="1" x14ac:dyDescent="0.3"/>
    <row r="58" s="263" customFormat="1" x14ac:dyDescent="0.3"/>
    <row r="59" s="263" customFormat="1" x14ac:dyDescent="0.3"/>
    <row r="60" s="263" customFormat="1" x14ac:dyDescent="0.3"/>
    <row r="61" s="263" customFormat="1" x14ac:dyDescent="0.3"/>
    <row r="62" s="263" customFormat="1" x14ac:dyDescent="0.3"/>
    <row r="63" s="263" customFormat="1" x14ac:dyDescent="0.3"/>
    <row r="64" s="263" customFormat="1" x14ac:dyDescent="0.3"/>
    <row r="65" s="263" customFormat="1" x14ac:dyDescent="0.3"/>
    <row r="66" s="263" customFormat="1" x14ac:dyDescent="0.3"/>
    <row r="67" s="263" customFormat="1" x14ac:dyDescent="0.3"/>
    <row r="68" s="263" customFormat="1" x14ac:dyDescent="0.3"/>
    <row r="69" s="263" customFormat="1" x14ac:dyDescent="0.3"/>
    <row r="110" s="263" customFormat="1" x14ac:dyDescent="0.3"/>
    <row r="111" s="263" customFormat="1" x14ac:dyDescent="0.3"/>
    <row r="112" s="263" customFormat="1" x14ac:dyDescent="0.3"/>
    <row r="113" s="263" customFormat="1" x14ac:dyDescent="0.3"/>
    <row r="114" s="263" customFormat="1" x14ac:dyDescent="0.3"/>
    <row r="115" s="263" customFormat="1" x14ac:dyDescent="0.3"/>
    <row r="116" s="263" customFormat="1" x14ac:dyDescent="0.3"/>
    <row r="117" s="263" customFormat="1" x14ac:dyDescent="0.3"/>
    <row r="118" s="263" customFormat="1" x14ac:dyDescent="0.3"/>
    <row r="119" s="263" customFormat="1" x14ac:dyDescent="0.3"/>
    <row r="120" s="263" customFormat="1" x14ac:dyDescent="0.3"/>
    <row r="121" s="263" customFormat="1" x14ac:dyDescent="0.3"/>
    <row r="122" s="263" customFormat="1" x14ac:dyDescent="0.3"/>
    <row r="123" s="263" customFormat="1" x14ac:dyDescent="0.3"/>
    <row r="124" s="263" customFormat="1" x14ac:dyDescent="0.3"/>
    <row r="125" s="263" customFormat="1" x14ac:dyDescent="0.3"/>
    <row r="126" s="263" customFormat="1" x14ac:dyDescent="0.3"/>
    <row r="127" s="263" customFormat="1" x14ac:dyDescent="0.3"/>
    <row r="129" s="263" customFormat="1" x14ac:dyDescent="0.3"/>
    <row r="130" s="263" customFormat="1" x14ac:dyDescent="0.3"/>
    <row r="131" s="263" customFormat="1" x14ac:dyDescent="0.3"/>
    <row r="133" s="263" customFormat="1" x14ac:dyDescent="0.3"/>
    <row r="134" s="263" customFormat="1" x14ac:dyDescent="0.3"/>
    <row r="135" s="263" customFormat="1" x14ac:dyDescent="0.3"/>
    <row r="136" s="263" customFormat="1" x14ac:dyDescent="0.3"/>
    <row r="137" s="263" customFormat="1" x14ac:dyDescent="0.3"/>
    <row r="138" s="263" customFormat="1" x14ac:dyDescent="0.3"/>
    <row r="139" s="263" customFormat="1" x14ac:dyDescent="0.3"/>
    <row r="140" s="263" customFormat="1" x14ac:dyDescent="0.3"/>
    <row r="141" s="263" customFormat="1" x14ac:dyDescent="0.3"/>
    <row r="155" spans="1:4" s="257" customFormat="1" x14ac:dyDescent="0.3"/>
    <row r="156" spans="1:4" x14ac:dyDescent="0.3">
      <c r="A156" t="s">
        <v>210</v>
      </c>
    </row>
    <row r="158" spans="1:4" x14ac:dyDescent="0.3">
      <c r="A158" t="s">
        <v>206</v>
      </c>
      <c r="B158" t="s">
        <v>207</v>
      </c>
      <c r="C158" t="s">
        <v>208</v>
      </c>
      <c r="D158" t="s">
        <v>209</v>
      </c>
    </row>
    <row r="159" spans="1:4" x14ac:dyDescent="0.3">
      <c r="A159" s="258">
        <v>1.1999999999999997</v>
      </c>
      <c r="B159" s="258">
        <v>2.2597810166080361</v>
      </c>
      <c r="C159" s="258"/>
      <c r="D159" s="258"/>
    </row>
    <row r="160" spans="1:4" x14ac:dyDescent="0.3">
      <c r="A160" s="258">
        <v>1.3999999999999992</v>
      </c>
      <c r="B160" s="258">
        <v>2.6364111860427073</v>
      </c>
      <c r="C160" s="258"/>
      <c r="D160" s="258"/>
    </row>
    <row r="161" spans="1:5" x14ac:dyDescent="0.3">
      <c r="A161" s="258">
        <v>1.599999999999999</v>
      </c>
      <c r="B161" s="258">
        <v>3.0130413554773803</v>
      </c>
      <c r="C161" s="258"/>
      <c r="D161" s="258"/>
    </row>
    <row r="162" spans="1:5" x14ac:dyDescent="0.3">
      <c r="A162" s="258">
        <v>1.8</v>
      </c>
      <c r="B162" s="258">
        <v>3.3896715249120541</v>
      </c>
      <c r="C162" s="258"/>
      <c r="D162" s="258"/>
    </row>
    <row r="163" spans="1:5" x14ac:dyDescent="0.3">
      <c r="A163" s="258">
        <v>2</v>
      </c>
      <c r="B163" s="258">
        <v>3.7663016943467267</v>
      </c>
      <c r="C163" s="258"/>
      <c r="D163" s="258"/>
    </row>
    <row r="164" spans="1:5" x14ac:dyDescent="0.3">
      <c r="A164" s="258"/>
      <c r="B164" s="258"/>
      <c r="C164" s="258"/>
      <c r="D164" s="258"/>
      <c r="E164" t="s">
        <v>232</v>
      </c>
    </row>
    <row r="181" s="263" customFormat="1" x14ac:dyDescent="0.3"/>
    <row r="182" s="263" customFormat="1" x14ac:dyDescent="0.3"/>
    <row r="183" s="263" customFormat="1" x14ac:dyDescent="0.3"/>
    <row r="184" s="263" customFormat="1" x14ac:dyDescent="0.3"/>
    <row r="185" s="263" customFormat="1" x14ac:dyDescent="0.3"/>
    <row r="186" s="263" customFormat="1" x14ac:dyDescent="0.3"/>
    <row r="187" s="263" customFormat="1" x14ac:dyDescent="0.3"/>
    <row r="188" s="263" customFormat="1" x14ac:dyDescent="0.3"/>
    <row r="189" s="263" customFormat="1" x14ac:dyDescent="0.3"/>
    <row r="190" s="263" customFormat="1" x14ac:dyDescent="0.3"/>
    <row r="191" s="263" customFormat="1" x14ac:dyDescent="0.3"/>
    <row r="192" s="263" customFormat="1" x14ac:dyDescent="0.3"/>
    <row r="203" s="263" customFormat="1" x14ac:dyDescent="0.3"/>
    <row r="204" s="263" customFormat="1" x14ac:dyDescent="0.3"/>
    <row r="205" s="263" customFormat="1" x14ac:dyDescent="0.3"/>
    <row r="206" s="263" customFormat="1" x14ac:dyDescent="0.3"/>
    <row r="207" s="263" customFormat="1" x14ac:dyDescent="0.3"/>
    <row r="216" spans="1:21" x14ac:dyDescent="0.3">
      <c r="A216" s="259" t="s">
        <v>211</v>
      </c>
      <c r="B216" s="262"/>
      <c r="C216" s="260"/>
      <c r="D216" s="260"/>
      <c r="E216" s="260"/>
      <c r="F216" s="260"/>
      <c r="G216" s="260"/>
      <c r="H216" s="260"/>
      <c r="I216" s="260"/>
      <c r="J216" s="260"/>
      <c r="K216" s="260"/>
      <c r="L216" s="260"/>
      <c r="M216" s="260"/>
      <c r="N216" s="260"/>
      <c r="O216" s="260"/>
      <c r="P216" s="260"/>
      <c r="Q216" s="260"/>
      <c r="R216" s="260"/>
      <c r="S216" s="260"/>
      <c r="T216" s="260"/>
      <c r="U216" s="260"/>
    </row>
    <row r="217" spans="1:21" x14ac:dyDescent="0.3">
      <c r="A217" s="259" t="s">
        <v>195</v>
      </c>
      <c r="B217" s="261"/>
      <c r="C217" s="261"/>
      <c r="D217" s="261"/>
      <c r="E217" s="261"/>
      <c r="F217" s="261"/>
      <c r="G217" s="261"/>
      <c r="H217" s="261"/>
      <c r="I217" s="261"/>
      <c r="J217" s="261"/>
      <c r="K217" s="261"/>
      <c r="L217" s="261"/>
      <c r="M217" s="261"/>
      <c r="N217" s="261"/>
      <c r="O217" s="261"/>
      <c r="P217" s="261"/>
      <c r="Q217" s="261"/>
      <c r="R217" s="261"/>
      <c r="S217" s="261"/>
      <c r="T217" s="261"/>
      <c r="U217" s="261"/>
    </row>
    <row r="219" spans="1:21" x14ac:dyDescent="0.3">
      <c r="A219" s="979" t="s">
        <v>212</v>
      </c>
      <c r="B219" s="980"/>
    </row>
    <row r="220" spans="1:21" x14ac:dyDescent="0.3">
      <c r="A220" s="265" t="s">
        <v>195</v>
      </c>
      <c r="B220" s="266" t="s">
        <v>211</v>
      </c>
    </row>
    <row r="221" spans="1:21" x14ac:dyDescent="0.3">
      <c r="A221" s="218">
        <v>0.1</v>
      </c>
      <c r="B221" s="267"/>
    </row>
    <row r="222" spans="1:21" x14ac:dyDescent="0.3">
      <c r="A222" s="218">
        <v>0.5</v>
      </c>
      <c r="B222" s="267"/>
    </row>
    <row r="223" spans="1:21" x14ac:dyDescent="0.3">
      <c r="A223" s="218">
        <v>0.9</v>
      </c>
      <c r="B223" s="267"/>
    </row>
  </sheetData>
  <mergeCells count="1">
    <mergeCell ref="A219:B219"/>
  </mergeCells>
  <pageMargins left="0.7" right="0.7" top="0.75" bottom="0.75" header="0.3" footer="0.3"/>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zoomScale="70" zoomScaleNormal="70" zoomScalePageLayoutView="70" workbookViewId="0">
      <selection activeCell="A9" sqref="A9"/>
    </sheetView>
  </sheetViews>
  <sheetFormatPr defaultColWidth="8.88671875" defaultRowHeight="14.4" x14ac:dyDescent="0.3"/>
  <cols>
    <col min="1" max="1" width="5.88671875" customWidth="1"/>
  </cols>
  <sheetData>
    <row r="1" spans="1:2" x14ac:dyDescent="0.25">
      <c r="A1" s="59" t="s">
        <v>162</v>
      </c>
    </row>
    <row r="3" spans="1:2" s="263" customFormat="1" x14ac:dyDescent="0.25">
      <c r="A3" s="183" t="s">
        <v>149</v>
      </c>
    </row>
    <row r="4" spans="1:2" s="263" customFormat="1" x14ac:dyDescent="0.25">
      <c r="A4" s="263">
        <v>1.8</v>
      </c>
      <c r="B4" s="263" t="s">
        <v>218</v>
      </c>
    </row>
    <row r="5" spans="1:2" s="263" customFormat="1" x14ac:dyDescent="0.25">
      <c r="B5" s="263" t="s">
        <v>164</v>
      </c>
    </row>
    <row r="7" spans="1:2" x14ac:dyDescent="0.25">
      <c r="A7" s="396" t="s">
        <v>213</v>
      </c>
    </row>
    <row r="8" spans="1:2" x14ac:dyDescent="0.25">
      <c r="A8">
        <v>1.8</v>
      </c>
      <c r="B8" t="s">
        <v>470</v>
      </c>
    </row>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3"/>
  <sheetViews>
    <sheetView topLeftCell="A53" zoomScale="80" zoomScaleNormal="80" zoomScalePageLayoutView="70" workbookViewId="0">
      <selection activeCell="H59" sqref="H59"/>
    </sheetView>
  </sheetViews>
  <sheetFormatPr defaultColWidth="8.88671875" defaultRowHeight="14.4" x14ac:dyDescent="0.3"/>
  <cols>
    <col min="1" max="1" width="6.88671875" style="625" customWidth="1"/>
    <col min="2" max="2" width="3.6640625" style="625" customWidth="1"/>
    <col min="3" max="3" width="25.44140625" style="625" customWidth="1"/>
    <col min="4" max="4" width="31.44140625" style="625" customWidth="1"/>
    <col min="5" max="5" width="13.44140625" style="625" customWidth="1"/>
    <col min="6" max="6" width="15" style="625" bestFit="1" customWidth="1"/>
    <col min="7" max="7" width="16.88671875" style="625" bestFit="1" customWidth="1"/>
    <col min="8" max="8" width="16.44140625" style="625" bestFit="1" customWidth="1"/>
    <col min="9" max="9" width="15.88671875" style="625" customWidth="1"/>
    <col min="10" max="10" width="13.33203125" style="625" customWidth="1"/>
    <col min="11" max="11" width="13.44140625" style="625" bestFit="1" customWidth="1"/>
    <col min="12" max="12" width="13.109375" style="625" bestFit="1" customWidth="1"/>
    <col min="13" max="13" width="14.44140625" style="625" bestFit="1" customWidth="1"/>
    <col min="14" max="14" width="14" style="625" customWidth="1"/>
    <col min="15" max="15" width="13.109375" style="625" bestFit="1" customWidth="1"/>
    <col min="16" max="16" width="15.44140625" style="625" bestFit="1" customWidth="1"/>
    <col min="17" max="17" width="15" style="625" customWidth="1"/>
    <col min="18" max="18" width="13.44140625" style="625" bestFit="1" customWidth="1"/>
    <col min="19" max="19" width="12" style="625" bestFit="1" customWidth="1"/>
    <col min="20" max="20" width="10.6640625" style="625" customWidth="1"/>
    <col min="21" max="21" width="13.44140625" style="625" bestFit="1" customWidth="1"/>
    <col min="22" max="22" width="15.33203125" style="625" customWidth="1"/>
    <col min="23" max="16384" width="8.88671875" style="625"/>
  </cols>
  <sheetData>
    <row r="1" spans="1:22" ht="15" x14ac:dyDescent="0.25">
      <c r="A1" s="342" t="s">
        <v>369</v>
      </c>
      <c r="B1" s="622"/>
      <c r="C1" s="622"/>
      <c r="D1" s="622"/>
      <c r="E1" s="622"/>
      <c r="F1" s="622"/>
      <c r="G1" s="622"/>
      <c r="H1" s="622"/>
      <c r="I1" s="622"/>
      <c r="J1" s="622"/>
      <c r="K1" s="622"/>
      <c r="L1" s="622"/>
      <c r="M1" s="622"/>
      <c r="N1" s="622"/>
      <c r="O1" s="622"/>
      <c r="P1" s="434"/>
      <c r="Q1" s="434"/>
      <c r="R1" s="434"/>
      <c r="S1" s="434"/>
      <c r="T1" s="434"/>
      <c r="U1" s="622"/>
      <c r="V1" s="622"/>
    </row>
    <row r="2" spans="1:22" ht="15" x14ac:dyDescent="0.25">
      <c r="A2" s="622"/>
      <c r="B2" s="622"/>
      <c r="C2" s="622"/>
      <c r="D2" s="622"/>
      <c r="E2" s="622"/>
      <c r="F2" s="622"/>
      <c r="G2" s="622"/>
      <c r="H2" s="622"/>
      <c r="I2" s="622"/>
      <c r="J2" s="622"/>
      <c r="K2" s="622"/>
      <c r="L2" s="622"/>
      <c r="M2" s="622"/>
      <c r="N2" s="622"/>
      <c r="O2" s="622"/>
      <c r="P2" s="434"/>
      <c r="Q2" s="434"/>
      <c r="R2" s="434"/>
      <c r="S2" s="434"/>
      <c r="T2" s="434"/>
      <c r="U2" s="622"/>
      <c r="V2" s="622"/>
    </row>
    <row r="3" spans="1:22" ht="15" x14ac:dyDescent="0.25">
      <c r="A3" s="342" t="s">
        <v>110</v>
      </c>
      <c r="B3" s="622"/>
      <c r="C3" s="622"/>
      <c r="D3" s="622"/>
      <c r="E3" s="622"/>
      <c r="F3" s="622"/>
      <c r="G3" s="622"/>
      <c r="H3" s="622"/>
      <c r="I3" s="622"/>
      <c r="J3" s="622"/>
      <c r="K3" s="622"/>
      <c r="L3" s="622"/>
      <c r="M3" s="622"/>
      <c r="N3" s="622"/>
      <c r="O3" s="622"/>
      <c r="P3" s="434"/>
      <c r="Q3" s="434"/>
      <c r="R3" s="434"/>
      <c r="S3" s="434"/>
      <c r="T3" s="434"/>
      <c r="U3" s="622"/>
      <c r="V3" s="622"/>
    </row>
    <row r="4" spans="1:22" ht="15" x14ac:dyDescent="0.25">
      <c r="A4" s="622"/>
      <c r="B4" s="622"/>
      <c r="C4" s="622"/>
      <c r="D4" s="622"/>
      <c r="E4" s="622" t="s">
        <v>66</v>
      </c>
      <c r="F4" s="622">
        <v>1</v>
      </c>
      <c r="G4" s="622">
        <v>10</v>
      </c>
      <c r="H4" s="622">
        <v>50</v>
      </c>
      <c r="I4" s="622">
        <v>100</v>
      </c>
      <c r="J4" s="622"/>
      <c r="K4" s="622"/>
      <c r="L4" s="622"/>
      <c r="M4" s="622"/>
      <c r="N4" s="622"/>
      <c r="O4" s="622"/>
      <c r="P4" s="434"/>
      <c r="Q4" s="492"/>
      <c r="R4" s="434"/>
      <c r="S4" s="434"/>
      <c r="T4" s="434"/>
      <c r="U4" s="622"/>
      <c r="V4" s="622"/>
    </row>
    <row r="5" spans="1:22" ht="15" x14ac:dyDescent="0.25">
      <c r="A5" s="622"/>
      <c r="B5" s="344" t="s">
        <v>73</v>
      </c>
      <c r="C5" s="622"/>
      <c r="D5" s="622" t="s">
        <v>48</v>
      </c>
      <c r="E5" s="622"/>
      <c r="F5" s="352">
        <f>F20</f>
        <v>29750</v>
      </c>
      <c r="G5" s="352">
        <f>G20</f>
        <v>297500</v>
      </c>
      <c r="H5" s="352">
        <f>H20</f>
        <v>1487500</v>
      </c>
      <c r="I5" s="352">
        <f>I20</f>
        <v>2975000</v>
      </c>
      <c r="J5" s="622"/>
      <c r="K5" s="622"/>
      <c r="L5" s="622"/>
      <c r="M5" s="622"/>
      <c r="N5" s="622"/>
      <c r="O5" s="622"/>
      <c r="P5" s="492"/>
      <c r="Q5" s="487"/>
      <c r="R5" s="487"/>
      <c r="S5" s="487"/>
      <c r="T5" s="487"/>
      <c r="U5" s="622"/>
      <c r="V5" s="622"/>
    </row>
    <row r="6" spans="1:22" ht="15" x14ac:dyDescent="0.25">
      <c r="A6" s="622"/>
      <c r="B6" s="344" t="s">
        <v>74</v>
      </c>
      <c r="C6" s="622"/>
      <c r="D6" s="622" t="s">
        <v>49</v>
      </c>
      <c r="E6" s="622"/>
      <c r="F6" s="352">
        <f>F34</f>
        <v>667000</v>
      </c>
      <c r="G6" s="352">
        <f t="shared" ref="G6:I6" si="0">G34</f>
        <v>767200</v>
      </c>
      <c r="H6" s="352">
        <f t="shared" si="0"/>
        <v>767200</v>
      </c>
      <c r="I6" s="352">
        <f t="shared" si="0"/>
        <v>1534000</v>
      </c>
      <c r="J6" s="622"/>
      <c r="K6" s="622"/>
      <c r="L6" s="622"/>
      <c r="M6" s="622"/>
      <c r="N6" s="622"/>
      <c r="O6" s="622"/>
      <c r="P6" s="492"/>
      <c r="Q6" s="487"/>
      <c r="R6" s="487"/>
      <c r="S6" s="487"/>
      <c r="T6" s="487"/>
      <c r="U6" s="622"/>
      <c r="V6" s="622"/>
    </row>
    <row r="7" spans="1:22" ht="15" x14ac:dyDescent="0.25">
      <c r="A7" s="622"/>
      <c r="B7" s="344" t="s">
        <v>75</v>
      </c>
      <c r="C7" s="622"/>
      <c r="D7" s="622" t="s">
        <v>71</v>
      </c>
      <c r="E7" s="622"/>
      <c r="F7" s="352">
        <f>G52</f>
        <v>4549380.75</v>
      </c>
      <c r="G7" s="352">
        <f>J52</f>
        <v>5339439.666666667</v>
      </c>
      <c r="H7" s="352">
        <f>M52</f>
        <v>8852950.333333334</v>
      </c>
      <c r="I7" s="352">
        <f>P52</f>
        <v>13244838.666666668</v>
      </c>
      <c r="J7" s="622"/>
      <c r="K7" s="622"/>
      <c r="L7" s="622"/>
      <c r="M7" s="622"/>
      <c r="N7" s="622"/>
      <c r="O7" s="622"/>
      <c r="P7" s="492"/>
      <c r="Q7" s="487"/>
      <c r="R7" s="487"/>
      <c r="S7" s="487"/>
      <c r="T7" s="487"/>
      <c r="U7" s="622"/>
      <c r="V7" s="622"/>
    </row>
    <row r="8" spans="1:22" ht="15" x14ac:dyDescent="0.25">
      <c r="A8" s="622"/>
      <c r="B8" s="344" t="s">
        <v>76</v>
      </c>
      <c r="C8" s="622"/>
      <c r="D8" s="622" t="s">
        <v>233</v>
      </c>
      <c r="E8" s="622"/>
      <c r="F8" s="352">
        <f>G79</f>
        <v>1507533.78</v>
      </c>
      <c r="G8" s="352">
        <f>J79</f>
        <v>2280164.6</v>
      </c>
      <c r="H8" s="352">
        <f>M79</f>
        <v>4503814.5999999996</v>
      </c>
      <c r="I8" s="352">
        <f>P79</f>
        <v>7283377.0999999996</v>
      </c>
      <c r="J8" s="622"/>
      <c r="K8" s="622"/>
      <c r="L8" s="622"/>
      <c r="M8" s="622"/>
      <c r="N8" s="622"/>
      <c r="O8" s="622"/>
      <c r="P8" s="492"/>
      <c r="Q8" s="487"/>
      <c r="R8" s="487"/>
      <c r="S8" s="487"/>
      <c r="T8" s="487"/>
      <c r="U8" s="622"/>
      <c r="V8" s="622"/>
    </row>
    <row r="9" spans="1:22" ht="15" x14ac:dyDescent="0.25">
      <c r="A9" s="622"/>
      <c r="B9" s="344" t="s">
        <v>77</v>
      </c>
      <c r="C9" s="622"/>
      <c r="D9" s="622" t="s">
        <v>50</v>
      </c>
      <c r="E9" s="622"/>
      <c r="F9" s="352">
        <f>G96</f>
        <v>328655</v>
      </c>
      <c r="G9" s="352">
        <f>J96</f>
        <v>1650800</v>
      </c>
      <c r="H9" s="352">
        <f>M96</f>
        <v>7527000</v>
      </c>
      <c r="I9" s="352">
        <f>P96</f>
        <v>14872250</v>
      </c>
      <c r="J9" s="622"/>
      <c r="K9" s="622"/>
      <c r="L9" s="622"/>
      <c r="M9" s="622"/>
      <c r="N9" s="622"/>
      <c r="O9" s="622"/>
      <c r="P9" s="492"/>
      <c r="Q9" s="487"/>
      <c r="R9" s="487"/>
      <c r="S9" s="487"/>
      <c r="T9" s="487"/>
      <c r="U9" s="622"/>
      <c r="V9" s="622"/>
    </row>
    <row r="10" spans="1:22" ht="15" x14ac:dyDescent="0.25">
      <c r="A10" s="622"/>
      <c r="B10" s="344" t="s">
        <v>78</v>
      </c>
      <c r="C10" s="622"/>
      <c r="D10" s="622" t="s">
        <v>51</v>
      </c>
      <c r="E10" s="622"/>
      <c r="F10" s="352">
        <f>F104</f>
        <v>328655</v>
      </c>
      <c r="G10" s="352">
        <f>G104</f>
        <v>1650800</v>
      </c>
      <c r="H10" s="352">
        <f>H104</f>
        <v>7527000</v>
      </c>
      <c r="I10" s="352">
        <f>I104</f>
        <v>14872250</v>
      </c>
      <c r="J10" s="622"/>
      <c r="K10" s="622"/>
      <c r="L10" s="622"/>
      <c r="M10" s="622"/>
      <c r="N10" s="622"/>
      <c r="O10" s="622"/>
      <c r="P10" s="622"/>
      <c r="Q10" s="622"/>
      <c r="R10" s="622"/>
      <c r="S10" s="622"/>
      <c r="T10" s="622"/>
      <c r="U10" s="622"/>
      <c r="V10" s="622"/>
    </row>
    <row r="11" spans="1:22" ht="15" x14ac:dyDescent="0.25">
      <c r="A11" s="622"/>
      <c r="B11" s="622"/>
      <c r="C11" s="622"/>
      <c r="D11" s="622"/>
      <c r="E11" s="622"/>
      <c r="F11" s="622"/>
      <c r="G11" s="622"/>
      <c r="H11" s="622"/>
      <c r="I11" s="622"/>
      <c r="J11" s="622"/>
      <c r="K11" s="622"/>
      <c r="L11" s="622"/>
      <c r="M11" s="622"/>
      <c r="N11" s="622"/>
      <c r="O11" s="622"/>
      <c r="P11" s="622"/>
      <c r="Q11" s="622"/>
      <c r="R11" s="622"/>
      <c r="S11" s="622"/>
      <c r="T11" s="622"/>
      <c r="U11" s="622"/>
      <c r="V11" s="622"/>
    </row>
    <row r="12" spans="1:22" ht="15" x14ac:dyDescent="0.25">
      <c r="A12" s="622"/>
      <c r="B12" s="331" t="s">
        <v>81</v>
      </c>
      <c r="C12" s="331"/>
      <c r="D12" s="331"/>
      <c r="E12" s="331"/>
      <c r="F12" s="335">
        <f>SUM(F5:F10)</f>
        <v>7410974.5300000003</v>
      </c>
      <c r="G12" s="335">
        <f t="shared" ref="G12:I12" si="1">SUM(G5:G10)</f>
        <v>11985904.266666668</v>
      </c>
      <c r="H12" s="335">
        <f t="shared" si="1"/>
        <v>30665464.933333334</v>
      </c>
      <c r="I12" s="335">
        <f t="shared" si="1"/>
        <v>54781715.766666666</v>
      </c>
      <c r="J12" s="622"/>
      <c r="K12" s="622"/>
      <c r="L12" s="622"/>
      <c r="M12" s="622"/>
      <c r="N12" s="622"/>
      <c r="O12" s="622"/>
      <c r="P12" s="622"/>
      <c r="Q12" s="622"/>
      <c r="R12" s="622"/>
      <c r="S12" s="622"/>
      <c r="T12" s="622"/>
      <c r="U12" s="622"/>
      <c r="V12" s="622"/>
    </row>
    <row r="13" spans="1:22" ht="15" x14ac:dyDescent="0.25">
      <c r="A13" s="622"/>
      <c r="B13" s="622"/>
      <c r="C13" s="622"/>
      <c r="D13" s="622"/>
      <c r="E13" s="622"/>
      <c r="F13" s="622"/>
      <c r="G13" s="622"/>
      <c r="H13" s="622"/>
      <c r="I13" s="622"/>
      <c r="J13" s="349"/>
      <c r="K13" s="349"/>
      <c r="L13" s="349"/>
      <c r="M13" s="349"/>
      <c r="N13" s="349"/>
      <c r="O13" s="349"/>
      <c r="P13" s="622"/>
      <c r="Q13" s="622"/>
      <c r="R13" s="622"/>
      <c r="S13" s="622"/>
      <c r="T13" s="622"/>
      <c r="U13" s="622"/>
      <c r="V13" s="622"/>
    </row>
    <row r="14" spans="1:22" ht="15" x14ac:dyDescent="0.25">
      <c r="A14" s="622"/>
      <c r="B14" s="622"/>
      <c r="C14" s="622"/>
      <c r="D14" s="622"/>
      <c r="E14" s="622"/>
      <c r="F14" s="332"/>
      <c r="G14" s="351" t="s">
        <v>260</v>
      </c>
      <c r="H14" s="332" t="s">
        <v>66</v>
      </c>
      <c r="I14" s="372"/>
      <c r="K14" s="349"/>
      <c r="L14" s="349"/>
      <c r="M14" s="349"/>
      <c r="N14" s="349"/>
      <c r="O14" s="349"/>
      <c r="P14" s="622"/>
      <c r="Q14" s="622"/>
      <c r="R14" s="622"/>
      <c r="S14" s="622"/>
      <c r="T14" s="622"/>
      <c r="U14" s="622"/>
      <c r="V14" s="622"/>
    </row>
    <row r="15" spans="1:22" ht="15" x14ac:dyDescent="0.25">
      <c r="A15" s="436" t="s">
        <v>73</v>
      </c>
      <c r="B15" s="436" t="s">
        <v>91</v>
      </c>
      <c r="C15" s="350"/>
      <c r="D15" s="350"/>
      <c r="F15" s="529">
        <v>1</v>
      </c>
      <c r="G15" s="529">
        <v>10</v>
      </c>
      <c r="H15" s="529">
        <v>50</v>
      </c>
      <c r="I15" s="529">
        <v>100</v>
      </c>
      <c r="K15" s="349"/>
      <c r="L15" s="349"/>
      <c r="M15" s="349"/>
      <c r="N15" s="349"/>
      <c r="O15" s="349"/>
      <c r="P15" s="622"/>
      <c r="Q15" s="622"/>
      <c r="R15" s="622"/>
      <c r="S15" s="622"/>
      <c r="T15" s="622"/>
      <c r="U15" s="622"/>
      <c r="V15" s="622"/>
    </row>
    <row r="16" spans="1:22" ht="15" x14ac:dyDescent="0.25">
      <c r="A16" s="436"/>
      <c r="B16" s="436"/>
      <c r="C16" s="350"/>
      <c r="D16" s="350"/>
      <c r="F16" s="339"/>
      <c r="G16" s="351"/>
      <c r="H16" s="351"/>
      <c r="I16" s="351"/>
      <c r="K16" s="349"/>
      <c r="L16" s="349"/>
      <c r="M16" s="349"/>
      <c r="N16" s="349"/>
      <c r="O16" s="349"/>
      <c r="P16" s="622"/>
      <c r="Q16" s="622"/>
      <c r="R16" s="622"/>
      <c r="S16" s="622"/>
      <c r="T16" s="622"/>
      <c r="U16" s="622"/>
      <c r="V16" s="622"/>
    </row>
    <row r="17" spans="1:22" ht="15" x14ac:dyDescent="0.25">
      <c r="A17" s="436"/>
      <c r="B17" s="350" t="s">
        <v>311</v>
      </c>
      <c r="C17" s="350"/>
      <c r="D17" s="350"/>
      <c r="F17" s="530">
        <v>29750</v>
      </c>
      <c r="G17" s="530">
        <f>F17*G15</f>
        <v>297500</v>
      </c>
      <c r="H17" s="530">
        <f>F17*H15</f>
        <v>1487500</v>
      </c>
      <c r="I17" s="530">
        <f>F17*I15</f>
        <v>2975000</v>
      </c>
      <c r="K17" s="349"/>
      <c r="L17" s="349"/>
      <c r="M17" s="349"/>
      <c r="N17" s="349"/>
      <c r="O17" s="349"/>
      <c r="P17" s="622"/>
      <c r="Q17" s="622"/>
      <c r="R17" s="622"/>
      <c r="S17" s="622"/>
      <c r="T17" s="622"/>
      <c r="U17" s="622"/>
      <c r="V17" s="622"/>
    </row>
    <row r="18" spans="1:22" ht="15" x14ac:dyDescent="0.25">
      <c r="A18" s="436"/>
      <c r="B18" s="350" t="s">
        <v>310</v>
      </c>
      <c r="C18" s="350"/>
      <c r="D18" s="350"/>
      <c r="F18" s="339"/>
      <c r="G18" s="351"/>
      <c r="H18" s="351"/>
      <c r="I18" s="351"/>
      <c r="K18" s="349"/>
      <c r="L18" s="349"/>
      <c r="M18" s="349"/>
      <c r="N18" s="349"/>
      <c r="O18" s="349"/>
      <c r="P18" s="622"/>
      <c r="Q18" s="622"/>
      <c r="R18" s="622"/>
      <c r="S18" s="622"/>
      <c r="T18" s="622"/>
      <c r="U18" s="622"/>
      <c r="V18" s="622"/>
    </row>
    <row r="19" spans="1:22" ht="15" x14ac:dyDescent="0.25">
      <c r="A19" s="350"/>
      <c r="B19" s="350"/>
      <c r="C19" s="350"/>
      <c r="D19" s="350"/>
      <c r="E19" s="622"/>
      <c r="F19" s="622"/>
      <c r="G19" s="622"/>
      <c r="H19" s="622"/>
      <c r="I19" s="622"/>
      <c r="K19" s="349"/>
      <c r="L19" s="349"/>
      <c r="M19" s="349"/>
      <c r="N19" s="349"/>
      <c r="O19" s="349"/>
      <c r="P19" s="622"/>
      <c r="Q19" s="622"/>
      <c r="R19" s="622"/>
      <c r="S19" s="622"/>
      <c r="T19" s="622"/>
      <c r="U19" s="622"/>
      <c r="V19" s="622"/>
    </row>
    <row r="20" spans="1:22" ht="15" x14ac:dyDescent="0.25">
      <c r="A20" s="350"/>
      <c r="B20" s="542" t="s">
        <v>81</v>
      </c>
      <c r="C20" s="542"/>
      <c r="D20" s="542"/>
      <c r="E20" s="331"/>
      <c r="F20" s="335">
        <f>SUM(F17:F18)</f>
        <v>29750</v>
      </c>
      <c r="G20" s="335">
        <f t="shared" ref="G20:I20" si="2">SUM(G17:G18)</f>
        <v>297500</v>
      </c>
      <c r="H20" s="335">
        <f t="shared" si="2"/>
        <v>1487500</v>
      </c>
      <c r="I20" s="335">
        <f t="shared" si="2"/>
        <v>2975000</v>
      </c>
      <c r="K20" s="349"/>
      <c r="L20" s="349"/>
      <c r="M20" s="349"/>
      <c r="N20" s="349"/>
      <c r="O20" s="349"/>
      <c r="P20" s="622"/>
      <c r="Q20" s="622"/>
      <c r="R20" s="622"/>
      <c r="S20" s="622"/>
      <c r="T20" s="622"/>
      <c r="U20" s="622"/>
      <c r="V20" s="622"/>
    </row>
    <row r="21" spans="1:22" ht="15" x14ac:dyDescent="0.25">
      <c r="A21" s="350"/>
      <c r="B21" s="350"/>
      <c r="C21" s="350"/>
      <c r="D21" s="350"/>
      <c r="E21" s="622"/>
      <c r="F21" s="332"/>
      <c r="G21" s="332"/>
      <c r="H21" s="332"/>
      <c r="I21" s="372"/>
      <c r="K21" s="337"/>
      <c r="L21" s="337"/>
      <c r="M21" s="337"/>
      <c r="N21" s="337"/>
      <c r="O21" s="349"/>
      <c r="P21" s="622"/>
      <c r="Q21" s="622"/>
      <c r="R21" s="622"/>
      <c r="S21" s="622"/>
      <c r="T21" s="622"/>
      <c r="U21" s="622"/>
      <c r="V21" s="622"/>
    </row>
    <row r="22" spans="1:22" ht="15" x14ac:dyDescent="0.25">
      <c r="A22" s="350"/>
      <c r="B22" s="350"/>
      <c r="C22" s="350"/>
      <c r="D22" s="350"/>
      <c r="E22" s="434"/>
      <c r="G22" s="95" t="s">
        <v>260</v>
      </c>
      <c r="H22" s="400" t="s">
        <v>66</v>
      </c>
      <c r="I22" s="400"/>
      <c r="K22" s="434"/>
      <c r="L22" s="434"/>
      <c r="M22" s="434"/>
      <c r="N22" s="434"/>
      <c r="O22" s="434"/>
      <c r="P22" s="434"/>
      <c r="Q22" s="434"/>
      <c r="R22" s="434"/>
      <c r="S22" s="434"/>
      <c r="T22" s="434"/>
      <c r="U22" s="434"/>
      <c r="V22" s="434"/>
    </row>
    <row r="23" spans="1:22" ht="15" x14ac:dyDescent="0.25">
      <c r="A23" s="436" t="s">
        <v>74</v>
      </c>
      <c r="B23" s="436" t="s">
        <v>235</v>
      </c>
      <c r="C23" s="350"/>
      <c r="D23" s="350"/>
      <c r="E23" s="434"/>
      <c r="F23" s="529">
        <v>1</v>
      </c>
      <c r="G23" s="529">
        <v>10</v>
      </c>
      <c r="H23" s="529">
        <v>50</v>
      </c>
      <c r="I23" s="529">
        <v>100</v>
      </c>
      <c r="K23" s="433"/>
      <c r="L23" s="433"/>
      <c r="M23" s="433"/>
      <c r="N23" s="433"/>
      <c r="O23" s="433"/>
      <c r="P23" s="433"/>
      <c r="Q23" s="426"/>
      <c r="R23" s="426"/>
      <c r="S23" s="433"/>
      <c r="T23" s="433"/>
      <c r="U23" s="433"/>
      <c r="V23" s="434"/>
    </row>
    <row r="24" spans="1:22" ht="15" x14ac:dyDescent="0.25">
      <c r="A24" s="436"/>
      <c r="B24" s="436"/>
      <c r="C24" s="350"/>
      <c r="D24" s="350"/>
      <c r="E24" s="434"/>
      <c r="F24" s="434"/>
      <c r="G24" s="339"/>
      <c r="H24" s="351"/>
      <c r="I24" s="351"/>
      <c r="J24" s="351"/>
      <c r="K24" s="433"/>
      <c r="L24" s="433"/>
      <c r="M24" s="433"/>
      <c r="N24" s="433"/>
      <c r="O24" s="433"/>
      <c r="P24" s="433"/>
      <c r="Q24" s="426"/>
      <c r="R24" s="426"/>
      <c r="S24" s="433"/>
      <c r="T24" s="433"/>
      <c r="U24" s="433"/>
      <c r="V24" s="434"/>
    </row>
    <row r="25" spans="1:22" ht="15" x14ac:dyDescent="0.25">
      <c r="A25" s="491"/>
      <c r="B25" s="491" t="s">
        <v>312</v>
      </c>
      <c r="C25" s="491"/>
      <c r="D25" s="491"/>
      <c r="G25" s="400"/>
      <c r="H25" s="400"/>
      <c r="I25" s="400"/>
      <c r="J25" s="351"/>
      <c r="K25" s="433"/>
      <c r="L25" s="433"/>
      <c r="M25" s="433"/>
      <c r="N25" s="433"/>
      <c r="O25" s="433"/>
      <c r="P25" s="433"/>
      <c r="Q25" s="426"/>
      <c r="R25" s="426"/>
      <c r="S25" s="433"/>
      <c r="T25" s="433"/>
      <c r="U25" s="433"/>
      <c r="V25" s="434"/>
    </row>
    <row r="26" spans="1:22" ht="15" x14ac:dyDescent="0.25">
      <c r="A26" s="491"/>
      <c r="B26" s="491" t="s">
        <v>313</v>
      </c>
      <c r="C26" s="491"/>
      <c r="D26" s="491"/>
      <c r="G26" s="400"/>
      <c r="H26" s="400"/>
      <c r="I26" s="400"/>
      <c r="J26" s="351"/>
      <c r="K26" s="433"/>
      <c r="L26" s="433"/>
      <c r="M26" s="433"/>
      <c r="N26" s="433"/>
      <c r="O26" s="433"/>
      <c r="P26" s="433"/>
      <c r="Q26" s="426"/>
      <c r="R26" s="426"/>
      <c r="S26" s="433"/>
      <c r="T26" s="433"/>
      <c r="U26" s="433"/>
      <c r="V26" s="434"/>
    </row>
    <row r="27" spans="1:22" ht="15" x14ac:dyDescent="0.25">
      <c r="A27" s="491"/>
      <c r="B27" s="491" t="s">
        <v>314</v>
      </c>
      <c r="C27" s="491"/>
      <c r="D27" s="491"/>
      <c r="G27" s="400"/>
      <c r="H27" s="400"/>
      <c r="I27" s="400"/>
      <c r="J27" s="351"/>
      <c r="K27" s="433"/>
      <c r="L27" s="433"/>
      <c r="M27" s="433"/>
      <c r="N27" s="433"/>
      <c r="O27" s="433"/>
      <c r="P27" s="433"/>
      <c r="Q27" s="426"/>
      <c r="R27" s="426"/>
      <c r="S27" s="433"/>
      <c r="T27" s="433"/>
      <c r="U27" s="433"/>
      <c r="V27" s="434"/>
    </row>
    <row r="28" spans="1:22" ht="15" x14ac:dyDescent="0.25">
      <c r="A28" s="491"/>
      <c r="B28" s="951" t="s">
        <v>315</v>
      </c>
      <c r="C28" s="491"/>
      <c r="D28" s="491"/>
      <c r="G28" s="400"/>
      <c r="H28" s="400"/>
      <c r="I28" s="400"/>
      <c r="J28" s="351"/>
      <c r="K28" s="433"/>
      <c r="L28" s="433"/>
      <c r="M28" s="433"/>
      <c r="N28" s="433"/>
      <c r="O28" s="433"/>
      <c r="P28" s="433"/>
      <c r="Q28" s="426"/>
      <c r="R28" s="426"/>
      <c r="S28" s="433"/>
      <c r="T28" s="433"/>
      <c r="U28" s="433"/>
      <c r="V28" s="434"/>
    </row>
    <row r="29" spans="1:22" ht="15" x14ac:dyDescent="0.25">
      <c r="A29" s="491"/>
      <c r="B29" s="951" t="s">
        <v>316</v>
      </c>
      <c r="C29" s="491"/>
      <c r="D29" s="491"/>
      <c r="G29" s="400"/>
      <c r="H29" s="400"/>
      <c r="I29" s="400"/>
      <c r="J29" s="351"/>
      <c r="K29" s="433"/>
      <c r="L29" s="433"/>
      <c r="M29" s="433"/>
      <c r="N29" s="433"/>
      <c r="O29" s="433"/>
      <c r="P29" s="433"/>
      <c r="Q29" s="426"/>
      <c r="R29" s="426"/>
      <c r="S29" s="433"/>
      <c r="T29" s="433"/>
      <c r="U29" s="433"/>
      <c r="V29" s="434"/>
    </row>
    <row r="30" spans="1:22" ht="15" x14ac:dyDescent="0.25">
      <c r="A30" s="491"/>
      <c r="B30" s="951" t="s">
        <v>321</v>
      </c>
      <c r="C30" s="491"/>
      <c r="D30" s="491"/>
      <c r="G30" s="400"/>
      <c r="H30" s="400"/>
      <c r="I30" s="400"/>
      <c r="J30" s="351"/>
      <c r="K30" s="433"/>
      <c r="L30" s="433"/>
      <c r="M30" s="433"/>
      <c r="N30" s="433"/>
      <c r="O30" s="433"/>
      <c r="P30" s="433"/>
      <c r="Q30" s="426"/>
      <c r="R30" s="426"/>
      <c r="S30" s="433"/>
      <c r="T30" s="433"/>
      <c r="U30" s="433"/>
      <c r="V30" s="434"/>
    </row>
    <row r="31" spans="1:22" ht="15" x14ac:dyDescent="0.25">
      <c r="A31" s="491"/>
      <c r="B31" s="951" t="s">
        <v>319</v>
      </c>
      <c r="C31" s="491"/>
      <c r="D31" s="491"/>
      <c r="G31" s="400"/>
      <c r="H31" s="400"/>
      <c r="I31" s="400"/>
      <c r="J31" s="351"/>
      <c r="K31" s="433"/>
      <c r="L31" s="433"/>
      <c r="M31" s="433"/>
      <c r="N31" s="433"/>
      <c r="O31" s="433"/>
      <c r="P31" s="433"/>
      <c r="Q31" s="426"/>
      <c r="R31" s="426"/>
      <c r="S31" s="433"/>
      <c r="T31" s="433"/>
      <c r="U31" s="433"/>
      <c r="V31" s="434"/>
    </row>
    <row r="32" spans="1:22" ht="15" x14ac:dyDescent="0.25">
      <c r="A32" s="491"/>
      <c r="B32" s="951" t="s">
        <v>317</v>
      </c>
      <c r="C32" s="491"/>
      <c r="D32" s="491"/>
      <c r="G32" s="400"/>
      <c r="H32" s="400"/>
      <c r="I32" s="400"/>
      <c r="J32" s="533"/>
      <c r="K32" s="433"/>
      <c r="L32" s="433"/>
      <c r="M32" s="433"/>
      <c r="N32" s="433"/>
      <c r="O32" s="433"/>
      <c r="P32" s="433"/>
      <c r="Q32" s="426"/>
      <c r="R32" s="426"/>
      <c r="S32" s="433"/>
      <c r="T32" s="433"/>
      <c r="U32" s="433"/>
      <c r="V32" s="434"/>
    </row>
    <row r="33" spans="1:22" ht="15" x14ac:dyDescent="0.25">
      <c r="A33" s="491"/>
      <c r="B33" s="951"/>
      <c r="C33" s="491"/>
      <c r="D33" s="491"/>
      <c r="F33" s="419"/>
      <c r="G33" s="95"/>
      <c r="H33" s="95"/>
      <c r="I33" s="95"/>
      <c r="J33" s="349"/>
      <c r="K33" s="433"/>
      <c r="L33" s="433"/>
      <c r="M33" s="433"/>
      <c r="N33" s="433"/>
      <c r="O33" s="433"/>
      <c r="P33" s="433"/>
      <c r="Q33" s="426"/>
      <c r="R33" s="426"/>
      <c r="S33" s="433"/>
      <c r="T33" s="433"/>
      <c r="U33" s="433"/>
      <c r="V33" s="434"/>
    </row>
    <row r="34" spans="1:22" ht="15" x14ac:dyDescent="0.25">
      <c r="A34" s="491"/>
      <c r="B34" s="78" t="s">
        <v>318</v>
      </c>
      <c r="C34" s="78"/>
      <c r="D34" s="78"/>
      <c r="E34" s="298"/>
      <c r="F34" s="532">
        <v>667000</v>
      </c>
      <c r="G34" s="532">
        <v>767200</v>
      </c>
      <c r="H34" s="532">
        <f>G34</f>
        <v>767200</v>
      </c>
      <c r="I34" s="532">
        <v>1534000</v>
      </c>
      <c r="J34" s="347"/>
      <c r="K34" s="433"/>
      <c r="L34" s="433"/>
      <c r="M34" s="433"/>
      <c r="N34" s="433"/>
      <c r="O34" s="433"/>
      <c r="P34" s="433"/>
      <c r="Q34" s="426"/>
      <c r="R34" s="432"/>
      <c r="S34" s="431"/>
      <c r="T34" s="433"/>
      <c r="U34" s="433"/>
      <c r="V34" s="434"/>
    </row>
    <row r="35" spans="1:22" ht="15" x14ac:dyDescent="0.25">
      <c r="A35" s="350"/>
      <c r="B35" s="434"/>
      <c r="C35" s="434"/>
      <c r="D35" s="434"/>
      <c r="E35" s="349"/>
      <c r="F35" s="349"/>
      <c r="G35" s="349"/>
      <c r="H35" s="349"/>
      <c r="I35" s="349"/>
      <c r="J35" s="349"/>
      <c r="K35" s="371"/>
      <c r="L35" s="349"/>
      <c r="M35" s="349"/>
      <c r="N35" s="349"/>
      <c r="O35" s="349"/>
      <c r="P35" s="349"/>
      <c r="Q35" s="349"/>
      <c r="R35" s="349"/>
      <c r="S35" s="349"/>
      <c r="T35" s="349"/>
      <c r="U35" s="349"/>
      <c r="V35" s="622"/>
    </row>
    <row r="36" spans="1:22" ht="15" x14ac:dyDescent="0.25">
      <c r="A36" s="350"/>
      <c r="B36" s="434"/>
      <c r="C36" s="434"/>
      <c r="D36" s="434"/>
      <c r="E36" s="349"/>
      <c r="G36" s="95" t="s">
        <v>260</v>
      </c>
      <c r="H36" s="400" t="s">
        <v>66</v>
      </c>
      <c r="I36" s="400"/>
      <c r="J36" s="349"/>
      <c r="K36" s="371"/>
      <c r="L36" s="349"/>
      <c r="M36" s="349"/>
      <c r="N36" s="349"/>
      <c r="O36" s="349"/>
      <c r="P36" s="349"/>
      <c r="Q36" s="349"/>
      <c r="R36" s="349"/>
      <c r="S36" s="349"/>
      <c r="T36" s="349"/>
      <c r="U36" s="349"/>
      <c r="V36" s="622"/>
    </row>
    <row r="37" spans="1:22" ht="15" x14ac:dyDescent="0.25">
      <c r="A37" s="436" t="s">
        <v>75</v>
      </c>
      <c r="B37" s="436" t="s">
        <v>234</v>
      </c>
      <c r="C37" s="350"/>
      <c r="D37" s="350"/>
      <c r="E37" s="350"/>
      <c r="F37" s="529">
        <v>1</v>
      </c>
      <c r="G37" s="529">
        <v>10</v>
      </c>
      <c r="H37" s="529">
        <v>50</v>
      </c>
      <c r="I37" s="529">
        <v>100</v>
      </c>
      <c r="K37" s="433"/>
      <c r="L37" s="350"/>
      <c r="M37" s="622"/>
      <c r="N37" s="622"/>
      <c r="O37" s="622"/>
      <c r="P37" s="622"/>
      <c r="Q37" s="622"/>
      <c r="R37" s="622"/>
      <c r="S37" s="622"/>
      <c r="T37" s="622"/>
      <c r="U37" s="622"/>
      <c r="V37" s="622"/>
    </row>
    <row r="38" spans="1:22" ht="15" x14ac:dyDescent="0.25">
      <c r="A38" s="436"/>
      <c r="B38" s="342"/>
      <c r="C38" s="622"/>
      <c r="D38" s="622"/>
      <c r="E38" s="350"/>
      <c r="F38" s="339"/>
      <c r="G38" s="351"/>
      <c r="H38" s="351"/>
      <c r="I38" s="351"/>
      <c r="K38" s="433"/>
      <c r="L38" s="350"/>
      <c r="M38" s="622"/>
      <c r="N38" s="622"/>
      <c r="O38" s="622"/>
      <c r="P38" s="622"/>
      <c r="Q38" s="622"/>
      <c r="R38" s="622"/>
      <c r="S38" s="622"/>
      <c r="T38" s="622"/>
      <c r="U38" s="622"/>
      <c r="V38" s="622"/>
    </row>
    <row r="39" spans="1:22" ht="15" x14ac:dyDescent="0.25">
      <c r="A39" s="436"/>
      <c r="B39" s="622" t="s">
        <v>312</v>
      </c>
      <c r="C39" s="622"/>
      <c r="D39" s="622"/>
      <c r="E39" s="350"/>
      <c r="F39" s="339"/>
      <c r="G39" s="351"/>
      <c r="H39" s="351"/>
      <c r="I39" s="351"/>
      <c r="K39" s="433"/>
      <c r="L39" s="350"/>
      <c r="M39" s="622"/>
      <c r="N39" s="622"/>
      <c r="O39" s="622"/>
      <c r="P39" s="622"/>
      <c r="Q39" s="622"/>
      <c r="R39" s="622"/>
      <c r="S39" s="622"/>
      <c r="T39" s="622"/>
      <c r="U39" s="622"/>
      <c r="V39" s="622"/>
    </row>
    <row r="40" spans="1:22" ht="15" x14ac:dyDescent="0.25">
      <c r="A40" s="436"/>
      <c r="B40" s="622" t="s">
        <v>322</v>
      </c>
      <c r="C40" s="622"/>
      <c r="D40" s="622"/>
      <c r="E40" s="350"/>
      <c r="F40" s="339"/>
      <c r="G40" s="351"/>
      <c r="H40" s="351"/>
      <c r="I40" s="351"/>
      <c r="K40" s="433"/>
      <c r="L40" s="350"/>
      <c r="M40" s="622"/>
      <c r="N40" s="622"/>
      <c r="O40" s="622"/>
      <c r="P40" s="622"/>
      <c r="Q40" s="622"/>
      <c r="R40" s="622"/>
      <c r="S40" s="622"/>
      <c r="T40" s="622"/>
      <c r="U40" s="622"/>
      <c r="V40" s="622"/>
    </row>
    <row r="41" spans="1:22" ht="15" x14ac:dyDescent="0.25">
      <c r="A41" s="436"/>
      <c r="B41" s="342" t="s">
        <v>320</v>
      </c>
      <c r="C41" s="622"/>
      <c r="D41" s="622"/>
      <c r="E41" s="350"/>
      <c r="F41" s="339"/>
      <c r="G41" s="351"/>
      <c r="H41" s="351"/>
      <c r="I41" s="351"/>
      <c r="K41" s="433"/>
      <c r="L41" s="350"/>
      <c r="M41" s="622"/>
      <c r="N41" s="622"/>
      <c r="O41" s="622"/>
      <c r="P41" s="622"/>
      <c r="Q41" s="622"/>
      <c r="R41" s="622"/>
      <c r="S41" s="622"/>
      <c r="T41" s="622"/>
      <c r="U41" s="622"/>
      <c r="V41" s="622"/>
    </row>
    <row r="42" spans="1:22" ht="15" x14ac:dyDescent="0.25">
      <c r="A42" s="436"/>
      <c r="B42" s="622" t="s">
        <v>323</v>
      </c>
      <c r="C42" s="622"/>
      <c r="D42" s="622"/>
      <c r="E42" s="350"/>
      <c r="F42" s="339"/>
      <c r="G42" s="351"/>
      <c r="H42" s="351"/>
      <c r="I42" s="351"/>
      <c r="K42" s="433"/>
      <c r="L42" s="350"/>
      <c r="M42" s="622"/>
      <c r="N42" s="622"/>
      <c r="O42" s="622"/>
      <c r="P42" s="622"/>
      <c r="Q42" s="622"/>
      <c r="R42" s="622"/>
      <c r="S42" s="622"/>
      <c r="T42" s="622"/>
      <c r="U42" s="622"/>
      <c r="V42" s="622"/>
    </row>
    <row r="43" spans="1:22" ht="15" x14ac:dyDescent="0.25">
      <c r="A43" s="436"/>
      <c r="B43" s="342"/>
      <c r="C43" s="622"/>
      <c r="D43" s="622"/>
      <c r="E43" s="350"/>
      <c r="F43" s="535" t="s">
        <v>98</v>
      </c>
      <c r="G43" s="536"/>
      <c r="H43" s="536"/>
      <c r="I43" s="536" t="s">
        <v>88</v>
      </c>
      <c r="J43" s="727"/>
      <c r="K43" s="426"/>
      <c r="L43" s="537" t="s">
        <v>89</v>
      </c>
      <c r="M43" s="535"/>
      <c r="O43" s="535" t="s">
        <v>90</v>
      </c>
      <c r="P43" s="622"/>
      <c r="Q43" s="622"/>
      <c r="R43" s="622"/>
      <c r="S43" s="622"/>
      <c r="T43" s="622"/>
      <c r="U43" s="622"/>
      <c r="V43" s="622"/>
    </row>
    <row r="44" spans="1:22" ht="15" x14ac:dyDescent="0.25">
      <c r="A44" s="436"/>
      <c r="B44" s="342"/>
      <c r="C44" s="622"/>
      <c r="D44" s="622"/>
      <c r="E44" s="534" t="s">
        <v>330</v>
      </c>
      <c r="F44" s="419" t="s">
        <v>329</v>
      </c>
      <c r="G44" s="339" t="s">
        <v>79</v>
      </c>
      <c r="H44" s="534" t="s">
        <v>330</v>
      </c>
      <c r="I44" s="419" t="s">
        <v>329</v>
      </c>
      <c r="J44" s="339" t="s">
        <v>79</v>
      </c>
      <c r="K44" s="534" t="s">
        <v>330</v>
      </c>
      <c r="L44" s="419" t="s">
        <v>329</v>
      </c>
      <c r="M44" s="339" t="s">
        <v>79</v>
      </c>
      <c r="N44" s="534" t="s">
        <v>330</v>
      </c>
      <c r="O44" s="419" t="s">
        <v>329</v>
      </c>
      <c r="P44" s="339" t="s">
        <v>79</v>
      </c>
      <c r="Q44" s="622"/>
      <c r="R44" s="622"/>
      <c r="S44" s="622"/>
      <c r="T44" s="622"/>
      <c r="U44" s="622"/>
      <c r="V44" s="622"/>
    </row>
    <row r="45" spans="1:22" ht="15" x14ac:dyDescent="0.25">
      <c r="A45" s="436"/>
      <c r="B45" s="622">
        <v>1</v>
      </c>
      <c r="C45" s="622" t="s">
        <v>350</v>
      </c>
      <c r="D45" s="622"/>
      <c r="E45" s="350">
        <f>1.5*45.83</f>
        <v>68.745000000000005</v>
      </c>
      <c r="F45" s="413">
        <f>G45/E45</f>
        <v>58754.265764782889</v>
      </c>
      <c r="G45" s="530">
        <f>2692708*1.5</f>
        <v>4039062</v>
      </c>
      <c r="H45" s="350">
        <f>E45</f>
        <v>68.745000000000005</v>
      </c>
      <c r="I45" s="413">
        <f>J45/H45</f>
        <v>58754.265764782889</v>
      </c>
      <c r="J45" s="530">
        <f>1.5*2692708</f>
        <v>4039062</v>
      </c>
      <c r="K45" s="350">
        <f>E45</f>
        <v>68.745000000000005</v>
      </c>
      <c r="L45" s="413">
        <f>M45/K45</f>
        <v>58754.265764782889</v>
      </c>
      <c r="M45" s="530">
        <f>1.5*2692708</f>
        <v>4039062</v>
      </c>
      <c r="N45" s="350">
        <f>E45</f>
        <v>68.745000000000005</v>
      </c>
      <c r="O45" s="413">
        <f>P45/N45</f>
        <v>58754.265764782889</v>
      </c>
      <c r="P45" s="530">
        <f>1.5*2692708</f>
        <v>4039062</v>
      </c>
      <c r="Q45" s="622"/>
      <c r="R45" s="622"/>
      <c r="S45" s="622"/>
      <c r="T45" s="622"/>
      <c r="U45" s="622"/>
      <c r="V45" s="622"/>
    </row>
    <row r="46" spans="1:22" ht="15" x14ac:dyDescent="0.25">
      <c r="A46" s="436"/>
      <c r="B46" s="622">
        <v>2</v>
      </c>
      <c r="C46" s="622" t="s">
        <v>324</v>
      </c>
      <c r="D46" s="622"/>
      <c r="E46" s="350">
        <v>4</v>
      </c>
      <c r="G46" s="530">
        <v>422000</v>
      </c>
      <c r="H46" s="350">
        <v>4</v>
      </c>
      <c r="J46" s="530">
        <v>422000</v>
      </c>
      <c r="K46" s="350">
        <v>4</v>
      </c>
      <c r="M46" s="530">
        <v>422000</v>
      </c>
      <c r="N46" s="350">
        <v>4</v>
      </c>
      <c r="P46" s="530">
        <v>422000</v>
      </c>
      <c r="Q46" s="622"/>
      <c r="R46" s="622"/>
      <c r="S46" s="622"/>
      <c r="T46" s="622"/>
      <c r="U46" s="622"/>
      <c r="V46" s="622"/>
    </row>
    <row r="47" spans="1:22" ht="15" x14ac:dyDescent="0.25">
      <c r="A47" s="436"/>
      <c r="B47" s="622">
        <v>3</v>
      </c>
      <c r="C47" s="622" t="s">
        <v>325</v>
      </c>
      <c r="D47" s="622"/>
      <c r="E47" s="350"/>
      <c r="G47" s="530">
        <v>7350</v>
      </c>
      <c r="H47" s="351"/>
      <c r="I47" s="351"/>
      <c r="J47" s="413">
        <v>73500</v>
      </c>
      <c r="K47" s="350"/>
      <c r="M47" s="530">
        <f>J47*5</f>
        <v>367500</v>
      </c>
      <c r="N47" s="350"/>
      <c r="P47" s="530">
        <f>M47*2</f>
        <v>735000</v>
      </c>
      <c r="Q47" s="622"/>
      <c r="R47" s="622"/>
      <c r="S47" s="622"/>
      <c r="T47" s="622"/>
      <c r="U47" s="622"/>
      <c r="V47" s="622"/>
    </row>
    <row r="48" spans="1:22" ht="15" x14ac:dyDescent="0.25">
      <c r="A48" s="436"/>
      <c r="B48" s="622">
        <v>4</v>
      </c>
      <c r="C48" s="622" t="s">
        <v>326</v>
      </c>
      <c r="D48" s="622"/>
      <c r="E48" s="350">
        <v>0.37</v>
      </c>
      <c r="F48" s="413">
        <v>70485</v>
      </c>
      <c r="G48" s="530">
        <f>E48*F48</f>
        <v>26079.45</v>
      </c>
      <c r="H48" s="538">
        <v>3.666666666666667</v>
      </c>
      <c r="I48" s="413">
        <v>70485</v>
      </c>
      <c r="J48" s="413">
        <f>H48*I48</f>
        <v>258445.00000000003</v>
      </c>
      <c r="K48" s="540">
        <f>H48*5</f>
        <v>18.333333333333336</v>
      </c>
      <c r="L48" s="413">
        <v>70485</v>
      </c>
      <c r="M48" s="539">
        <f>K48*L48</f>
        <v>1292225.0000000002</v>
      </c>
      <c r="N48" s="541">
        <f>K48*2</f>
        <v>36.666666666666671</v>
      </c>
      <c r="O48" s="539">
        <v>70485</v>
      </c>
      <c r="P48" s="539">
        <f>N48*O48</f>
        <v>2584450.0000000005</v>
      </c>
      <c r="Q48" s="622"/>
      <c r="R48" s="622"/>
      <c r="S48" s="622"/>
      <c r="T48" s="622"/>
      <c r="U48" s="622"/>
      <c r="V48" s="622"/>
    </row>
    <row r="49" spans="1:22" ht="15" x14ac:dyDescent="0.25">
      <c r="A49" s="436"/>
      <c r="B49" s="622">
        <v>5</v>
      </c>
      <c r="C49" s="622" t="s">
        <v>327</v>
      </c>
      <c r="D49" s="622"/>
      <c r="E49" s="350">
        <f>1.5*0.24</f>
        <v>0.36</v>
      </c>
      <c r="F49" s="413">
        <v>76610</v>
      </c>
      <c r="G49" s="809">
        <f>E49*F49</f>
        <v>27579.599999999999</v>
      </c>
      <c r="H49" s="538">
        <f>E49*10</f>
        <v>3.5999999999999996</v>
      </c>
      <c r="I49" s="413">
        <v>76610</v>
      </c>
      <c r="J49" s="413">
        <f t="shared" ref="J49:J50" si="3">H49*I49</f>
        <v>275796</v>
      </c>
      <c r="K49" s="540">
        <f>H49*5</f>
        <v>18</v>
      </c>
      <c r="L49" s="413">
        <v>76610</v>
      </c>
      <c r="M49" s="539">
        <f t="shared" ref="M49:M50" si="4">K49*L49</f>
        <v>1378980</v>
      </c>
      <c r="N49" s="541">
        <f t="shared" ref="N49:N50" si="5">K49*2</f>
        <v>36</v>
      </c>
      <c r="O49" s="539">
        <v>76610</v>
      </c>
      <c r="P49" s="539">
        <f t="shared" ref="P49:P50" si="6">N49*O49</f>
        <v>2757960</v>
      </c>
      <c r="Q49" s="622"/>
      <c r="R49" s="622"/>
      <c r="S49" s="622"/>
      <c r="T49" s="622"/>
      <c r="U49" s="622"/>
      <c r="V49" s="622"/>
    </row>
    <row r="50" spans="1:22" ht="15" x14ac:dyDescent="0.25">
      <c r="A50" s="436"/>
      <c r="B50" s="622">
        <v>6</v>
      </c>
      <c r="C50" s="622" t="s">
        <v>328</v>
      </c>
      <c r="D50" s="622"/>
      <c r="E50" s="350">
        <v>0.37</v>
      </c>
      <c r="F50" s="413">
        <v>73810</v>
      </c>
      <c r="G50" s="530">
        <f>E50*F50</f>
        <v>27309.7</v>
      </c>
      <c r="H50" s="538">
        <v>3.666666666666667</v>
      </c>
      <c r="I50" s="413">
        <v>73810</v>
      </c>
      <c r="J50" s="413">
        <f t="shared" si="3"/>
        <v>270636.66666666669</v>
      </c>
      <c r="K50" s="540">
        <f t="shared" ref="K50" si="7">H50*5</f>
        <v>18.333333333333336</v>
      </c>
      <c r="L50" s="413">
        <v>73810</v>
      </c>
      <c r="M50" s="539">
        <f t="shared" si="4"/>
        <v>1353183.3333333335</v>
      </c>
      <c r="N50" s="541">
        <f t="shared" si="5"/>
        <v>36.666666666666671</v>
      </c>
      <c r="O50" s="539">
        <v>73810</v>
      </c>
      <c r="P50" s="539">
        <f t="shared" si="6"/>
        <v>2706366.666666667</v>
      </c>
      <c r="Q50" s="622"/>
      <c r="R50" s="622"/>
      <c r="S50" s="622"/>
      <c r="T50" s="622"/>
      <c r="U50" s="622"/>
      <c r="V50" s="622"/>
    </row>
    <row r="51" spans="1:22" ht="15" x14ac:dyDescent="0.25">
      <c r="A51" s="436"/>
      <c r="B51" s="342"/>
      <c r="C51" s="622"/>
      <c r="D51" s="622"/>
      <c r="E51" s="350"/>
      <c r="F51" s="339"/>
      <c r="G51" s="351"/>
      <c r="H51" s="351"/>
      <c r="I51" s="351"/>
      <c r="K51" s="433"/>
      <c r="L51" s="350"/>
      <c r="M51" s="622"/>
      <c r="N51" s="622"/>
      <c r="O51" s="622"/>
      <c r="P51" s="622"/>
      <c r="Q51" s="622"/>
      <c r="R51" s="622"/>
      <c r="S51" s="622"/>
      <c r="T51" s="622"/>
      <c r="U51" s="622"/>
      <c r="V51" s="622"/>
    </row>
    <row r="52" spans="1:22" ht="15" x14ac:dyDescent="0.25">
      <c r="A52" s="436"/>
      <c r="B52" s="331" t="s">
        <v>81</v>
      </c>
      <c r="C52" s="331"/>
      <c r="D52" s="331"/>
      <c r="E52" s="542">
        <f>SUM(E45:E50)</f>
        <v>73.845000000000013</v>
      </c>
      <c r="F52" s="542"/>
      <c r="G52" s="543">
        <f>SUM(G45:G50)</f>
        <v>4549380.75</v>
      </c>
      <c r="H52" s="543">
        <f t="shared" ref="H52:P52" si="8">SUM(H45:H50)</f>
        <v>83.678333333333342</v>
      </c>
      <c r="I52" s="543"/>
      <c r="J52" s="543">
        <f t="shared" si="8"/>
        <v>5339439.666666667</v>
      </c>
      <c r="K52" s="544">
        <f t="shared" si="8"/>
        <v>127.41166666666669</v>
      </c>
      <c r="L52" s="543"/>
      <c r="M52" s="543">
        <f t="shared" si="8"/>
        <v>8852950.333333334</v>
      </c>
      <c r="N52" s="544">
        <f t="shared" si="8"/>
        <v>182.07833333333338</v>
      </c>
      <c r="O52" s="543"/>
      <c r="P52" s="543">
        <f t="shared" si="8"/>
        <v>13244838.666666668</v>
      </c>
      <c r="Q52" s="622"/>
      <c r="R52" s="622"/>
      <c r="S52" s="622"/>
      <c r="T52" s="622"/>
      <c r="U52" s="622"/>
      <c r="V52" s="622"/>
    </row>
    <row r="53" spans="1:22" ht="15" x14ac:dyDescent="0.25">
      <c r="A53" s="436"/>
      <c r="B53" s="342"/>
      <c r="C53" s="622"/>
      <c r="D53" s="622"/>
      <c r="E53" s="350"/>
      <c r="F53" s="339"/>
      <c r="G53" s="351"/>
      <c r="H53" s="351"/>
      <c r="I53" s="351"/>
      <c r="K53" s="433"/>
      <c r="L53" s="350"/>
      <c r="M53" s="622"/>
      <c r="N53" s="622"/>
      <c r="O53" s="622"/>
      <c r="P53" s="622"/>
      <c r="Q53" s="622"/>
      <c r="R53" s="622"/>
      <c r="S53" s="622"/>
      <c r="T53" s="622"/>
      <c r="U53" s="622"/>
      <c r="V53" s="622"/>
    </row>
    <row r="54" spans="1:22" ht="15" x14ac:dyDescent="0.25">
      <c r="A54" s="622"/>
      <c r="B54" s="622"/>
      <c r="C54" s="349"/>
      <c r="D54" s="349"/>
      <c r="E54" s="434"/>
      <c r="F54" s="434"/>
      <c r="G54" s="434"/>
      <c r="H54" s="434"/>
      <c r="I54" s="434"/>
      <c r="J54" s="434"/>
      <c r="K54" s="434"/>
      <c r="L54" s="423"/>
      <c r="M54" s="347"/>
      <c r="N54" s="347"/>
      <c r="O54" s="347"/>
      <c r="P54" s="347"/>
      <c r="Q54" s="347"/>
      <c r="R54" s="347"/>
      <c r="S54" s="347"/>
      <c r="T54" s="347"/>
      <c r="U54" s="347"/>
      <c r="V54" s="622"/>
    </row>
    <row r="55" spans="1:22" ht="15" x14ac:dyDescent="0.25">
      <c r="A55" s="622"/>
      <c r="B55" s="622"/>
      <c r="C55" s="622"/>
      <c r="D55" s="622"/>
      <c r="E55" s="350"/>
      <c r="J55" s="350"/>
      <c r="K55" s="350"/>
      <c r="L55" s="330"/>
      <c r="M55" s="622"/>
      <c r="N55" s="622"/>
      <c r="O55" s="622"/>
      <c r="P55" s="622"/>
      <c r="Q55" s="622"/>
      <c r="R55" s="622"/>
      <c r="S55" s="622"/>
      <c r="T55" s="622"/>
      <c r="U55" s="622"/>
      <c r="V55" s="622"/>
    </row>
    <row r="56" spans="1:22" ht="15" x14ac:dyDescent="0.25">
      <c r="A56" s="436" t="s">
        <v>76</v>
      </c>
      <c r="B56" s="436" t="s">
        <v>233</v>
      </c>
      <c r="C56" s="350"/>
      <c r="D56" s="350"/>
      <c r="E56" s="350"/>
      <c r="F56" s="491"/>
      <c r="K56" s="350"/>
      <c r="L56" s="350"/>
      <c r="M56" s="622"/>
      <c r="N56" s="622"/>
      <c r="O56" s="622"/>
      <c r="P56" s="622"/>
      <c r="Q56" s="622"/>
      <c r="R56" s="622"/>
      <c r="S56" s="622"/>
      <c r="T56" s="622"/>
      <c r="U56" s="332"/>
      <c r="V56" s="622"/>
    </row>
    <row r="57" spans="1:22" ht="15" x14ac:dyDescent="0.25">
      <c r="A57" s="436"/>
      <c r="B57" s="436"/>
      <c r="C57" s="350"/>
      <c r="D57" s="350"/>
      <c r="E57" s="350"/>
      <c r="F57" s="534"/>
      <c r="G57" s="351"/>
      <c r="H57" s="351"/>
      <c r="I57" s="351"/>
      <c r="K57" s="350"/>
      <c r="L57" s="350"/>
      <c r="M57" s="622"/>
      <c r="N57" s="622"/>
      <c r="O57" s="622"/>
      <c r="P57" s="622"/>
      <c r="Q57" s="622"/>
      <c r="R57" s="622"/>
      <c r="S57" s="622"/>
      <c r="T57" s="622"/>
      <c r="U57" s="332"/>
      <c r="V57" s="622"/>
    </row>
    <row r="58" spans="1:22" ht="15" x14ac:dyDescent="0.25">
      <c r="A58" s="436"/>
      <c r="B58" s="350" t="s">
        <v>312</v>
      </c>
      <c r="C58" s="350"/>
      <c r="D58" s="350"/>
      <c r="E58" s="350"/>
      <c r="F58" s="534"/>
      <c r="G58" s="351"/>
      <c r="H58" s="351"/>
      <c r="I58" s="351"/>
      <c r="K58" s="350"/>
      <c r="L58" s="350"/>
      <c r="M58" s="622"/>
      <c r="N58" s="622"/>
      <c r="O58" s="622"/>
      <c r="P58" s="622"/>
      <c r="Q58" s="622"/>
      <c r="R58" s="622"/>
      <c r="S58" s="622"/>
      <c r="T58" s="622"/>
      <c r="U58" s="332"/>
      <c r="V58" s="622"/>
    </row>
    <row r="59" spans="1:22" ht="15" x14ac:dyDescent="0.25">
      <c r="A59" s="436"/>
      <c r="B59" s="350" t="s">
        <v>331</v>
      </c>
      <c r="C59" s="350"/>
      <c r="D59" s="350"/>
      <c r="E59" s="350"/>
      <c r="F59" s="534"/>
      <c r="G59" s="351"/>
      <c r="H59" s="351"/>
      <c r="I59" s="351"/>
      <c r="K59" s="350"/>
      <c r="L59" s="350"/>
      <c r="M59" s="622"/>
      <c r="N59" s="622"/>
      <c r="O59" s="622"/>
      <c r="P59" s="622"/>
      <c r="Q59" s="622"/>
      <c r="R59" s="622"/>
      <c r="S59" s="622"/>
      <c r="T59" s="622"/>
      <c r="U59" s="332"/>
      <c r="V59" s="622"/>
    </row>
    <row r="60" spans="1:22" ht="15" x14ac:dyDescent="0.25">
      <c r="A60" s="436"/>
      <c r="B60" s="350" t="s">
        <v>332</v>
      </c>
      <c r="C60" s="350"/>
      <c r="D60" s="350"/>
      <c r="E60" s="350"/>
      <c r="F60" s="534"/>
      <c r="G60" s="351"/>
      <c r="H60" s="351"/>
      <c r="I60" s="351"/>
      <c r="K60" s="350"/>
      <c r="L60" s="350"/>
      <c r="M60" s="622"/>
      <c r="N60" s="622"/>
      <c r="O60" s="622"/>
      <c r="P60" s="622"/>
      <c r="Q60" s="622"/>
      <c r="R60" s="622"/>
      <c r="S60" s="622"/>
      <c r="T60" s="622"/>
      <c r="U60" s="332"/>
      <c r="V60" s="622"/>
    </row>
    <row r="61" spans="1:22" ht="15" x14ac:dyDescent="0.25">
      <c r="A61" s="436"/>
      <c r="B61" s="350" t="s">
        <v>333</v>
      </c>
      <c r="C61" s="350"/>
      <c r="D61" s="350"/>
      <c r="E61" s="350"/>
      <c r="F61" s="534"/>
      <c r="G61" s="351"/>
      <c r="H61" s="351"/>
      <c r="I61" s="351"/>
      <c r="K61" s="350"/>
      <c r="L61" s="350"/>
      <c r="M61" s="622"/>
      <c r="N61" s="622"/>
      <c r="O61" s="622"/>
      <c r="P61" s="622"/>
      <c r="Q61" s="622"/>
      <c r="R61" s="622"/>
      <c r="S61" s="622"/>
      <c r="T61" s="622"/>
      <c r="U61" s="332"/>
      <c r="V61" s="622"/>
    </row>
    <row r="62" spans="1:22" ht="15" x14ac:dyDescent="0.25">
      <c r="A62" s="436"/>
      <c r="B62" s="350"/>
      <c r="C62" s="350"/>
      <c r="D62" s="350"/>
      <c r="E62" s="350"/>
      <c r="F62" s="534"/>
      <c r="G62" s="351"/>
      <c r="H62" s="351"/>
      <c r="I62" s="351"/>
      <c r="K62" s="350"/>
      <c r="L62" s="350"/>
      <c r="M62" s="622"/>
      <c r="N62" s="622"/>
      <c r="O62" s="622"/>
      <c r="P62" s="622"/>
      <c r="Q62" s="622"/>
      <c r="R62" s="622"/>
      <c r="S62" s="622"/>
      <c r="T62" s="622"/>
      <c r="U62" s="332"/>
      <c r="V62" s="622"/>
    </row>
    <row r="63" spans="1:22" ht="15" x14ac:dyDescent="0.25">
      <c r="A63" s="436"/>
      <c r="B63" s="350" t="s">
        <v>334</v>
      </c>
      <c r="C63" s="350"/>
      <c r="D63" s="350"/>
      <c r="E63" s="350"/>
      <c r="F63" s="534"/>
      <c r="G63" s="351"/>
      <c r="H63" s="351"/>
      <c r="I63" s="351"/>
      <c r="K63" s="350"/>
      <c r="L63" s="350"/>
      <c r="M63" s="622"/>
      <c r="N63" s="622"/>
      <c r="O63" s="622"/>
      <c r="P63" s="622"/>
      <c r="Q63" s="622"/>
      <c r="R63" s="622"/>
      <c r="S63" s="622"/>
      <c r="T63" s="622"/>
      <c r="U63" s="332"/>
      <c r="V63" s="622"/>
    </row>
    <row r="64" spans="1:22" ht="15" x14ac:dyDescent="0.25">
      <c r="A64" s="436"/>
      <c r="B64" s="350"/>
      <c r="C64" s="350" t="s">
        <v>335</v>
      </c>
      <c r="D64" s="952">
        <v>66350</v>
      </c>
      <c r="E64" s="350"/>
      <c r="F64" s="534"/>
      <c r="G64" s="351"/>
      <c r="H64" s="351"/>
      <c r="I64" s="351"/>
      <c r="K64" s="350"/>
      <c r="L64" s="350"/>
      <c r="M64" s="622"/>
      <c r="N64" s="622"/>
      <c r="O64" s="622"/>
      <c r="P64" s="622"/>
      <c r="Q64" s="622"/>
      <c r="R64" s="622"/>
      <c r="S64" s="622"/>
      <c r="T64" s="622"/>
      <c r="U64" s="332"/>
      <c r="V64" s="622"/>
    </row>
    <row r="65" spans="1:22" ht="15" x14ac:dyDescent="0.25">
      <c r="A65" s="436"/>
      <c r="B65" s="350"/>
      <c r="C65" s="350" t="s">
        <v>336</v>
      </c>
      <c r="D65" s="952">
        <v>75625</v>
      </c>
      <c r="E65" s="350"/>
      <c r="F65" s="534"/>
      <c r="G65" s="351"/>
      <c r="H65" s="351"/>
      <c r="I65" s="351"/>
      <c r="K65" s="350"/>
      <c r="L65" s="350"/>
      <c r="M65" s="622"/>
      <c r="N65" s="622"/>
      <c r="O65" s="622"/>
      <c r="P65" s="622"/>
      <c r="Q65" s="622"/>
      <c r="R65" s="622"/>
      <c r="S65" s="622"/>
      <c r="T65" s="622"/>
      <c r="U65" s="332"/>
      <c r="V65" s="622"/>
    </row>
    <row r="66" spans="1:22" ht="15" x14ac:dyDescent="0.25">
      <c r="A66" s="436"/>
      <c r="B66" s="350"/>
      <c r="C66" s="350" t="s">
        <v>337</v>
      </c>
      <c r="D66" s="952">
        <v>101275</v>
      </c>
      <c r="E66" s="350"/>
      <c r="F66" s="534"/>
      <c r="G66" s="351"/>
      <c r="H66" s="351"/>
      <c r="I66" s="351"/>
      <c r="K66" s="350"/>
      <c r="L66" s="350"/>
      <c r="M66" s="622"/>
      <c r="N66" s="622"/>
      <c r="O66" s="622"/>
      <c r="P66" s="622"/>
      <c r="Q66" s="622"/>
      <c r="R66" s="622"/>
      <c r="S66" s="622"/>
      <c r="T66" s="622"/>
      <c r="U66" s="332"/>
      <c r="V66" s="622"/>
    </row>
    <row r="67" spans="1:22" ht="15" x14ac:dyDescent="0.25">
      <c r="A67" s="436"/>
      <c r="B67" s="350"/>
      <c r="C67" s="350" t="s">
        <v>339</v>
      </c>
      <c r="D67" s="952">
        <v>101075</v>
      </c>
      <c r="E67" s="350"/>
      <c r="F67" s="534"/>
      <c r="G67" s="351"/>
      <c r="H67" s="351"/>
      <c r="I67" s="351"/>
      <c r="K67" s="350"/>
      <c r="L67" s="350"/>
      <c r="M67" s="622"/>
      <c r="N67" s="622"/>
      <c r="O67" s="622"/>
      <c r="P67" s="622"/>
      <c r="Q67" s="622"/>
      <c r="R67" s="622"/>
      <c r="S67" s="622"/>
      <c r="T67" s="622"/>
      <c r="U67" s="332"/>
      <c r="V67" s="622"/>
    </row>
    <row r="68" spans="1:22" ht="15" x14ac:dyDescent="0.25">
      <c r="A68" s="436"/>
      <c r="B68" s="350"/>
      <c r="C68" s="350" t="s">
        <v>338</v>
      </c>
      <c r="D68" s="952">
        <v>87855</v>
      </c>
      <c r="E68" s="350"/>
      <c r="F68" s="537" t="s">
        <v>98</v>
      </c>
      <c r="G68" s="536"/>
      <c r="H68" s="350"/>
      <c r="I68" s="535" t="s">
        <v>347</v>
      </c>
      <c r="J68" s="536"/>
      <c r="K68" s="350"/>
      <c r="L68" s="535" t="s">
        <v>348</v>
      </c>
      <c r="M68" s="536"/>
      <c r="N68" s="350"/>
      <c r="O68" s="535" t="s">
        <v>349</v>
      </c>
      <c r="P68" s="536"/>
      <c r="Q68" s="622"/>
      <c r="R68" s="622"/>
      <c r="S68" s="622"/>
      <c r="T68" s="622"/>
      <c r="U68" s="332"/>
      <c r="V68" s="622"/>
    </row>
    <row r="69" spans="1:22" ht="15" x14ac:dyDescent="0.25">
      <c r="A69" s="436"/>
      <c r="B69" s="350"/>
      <c r="C69" s="350"/>
      <c r="D69" s="350"/>
      <c r="E69" s="534" t="s">
        <v>330</v>
      </c>
      <c r="F69" s="947" t="s">
        <v>329</v>
      </c>
      <c r="G69" s="339" t="s">
        <v>79</v>
      </c>
      <c r="H69" s="534" t="s">
        <v>330</v>
      </c>
      <c r="I69" s="419" t="s">
        <v>329</v>
      </c>
      <c r="J69" s="339" t="s">
        <v>79</v>
      </c>
      <c r="K69" s="534" t="s">
        <v>330</v>
      </c>
      <c r="L69" s="419" t="s">
        <v>329</v>
      </c>
      <c r="M69" s="339" t="s">
        <v>79</v>
      </c>
      <c r="N69" s="534" t="s">
        <v>330</v>
      </c>
      <c r="O69" s="419" t="s">
        <v>329</v>
      </c>
      <c r="P69" s="339" t="s">
        <v>79</v>
      </c>
      <c r="Q69" s="622"/>
      <c r="R69" s="622"/>
      <c r="S69" s="622"/>
      <c r="T69" s="622"/>
      <c r="U69" s="332"/>
      <c r="V69" s="622"/>
    </row>
    <row r="70" spans="1:22" ht="15" x14ac:dyDescent="0.25">
      <c r="A70" s="436"/>
      <c r="B70" s="350" t="s">
        <v>340</v>
      </c>
      <c r="C70" s="350"/>
      <c r="D70" s="350"/>
      <c r="E70" s="953"/>
      <c r="F70" s="953"/>
      <c r="G70" s="529"/>
      <c r="H70" s="529"/>
      <c r="I70" s="351"/>
      <c r="K70" s="350"/>
      <c r="L70" s="350"/>
      <c r="M70" s="622"/>
      <c r="N70" s="622"/>
      <c r="O70" s="622"/>
      <c r="P70" s="622"/>
      <c r="Q70" s="622"/>
      <c r="R70" s="622"/>
      <c r="S70" s="622"/>
      <c r="T70" s="622"/>
      <c r="U70" s="332"/>
      <c r="V70" s="622"/>
    </row>
    <row r="71" spans="1:22" ht="15" x14ac:dyDescent="0.25">
      <c r="A71" s="436"/>
      <c r="B71" s="350"/>
      <c r="C71" s="350" t="s">
        <v>341</v>
      </c>
      <c r="D71" s="350"/>
      <c r="E71" s="350">
        <v>11</v>
      </c>
      <c r="F71" s="954">
        <v>66350</v>
      </c>
      <c r="G71" s="530">
        <f>E71*F71</f>
        <v>729850</v>
      </c>
      <c r="H71" s="350">
        <v>11</v>
      </c>
      <c r="I71" s="530">
        <f>D64</f>
        <v>66350</v>
      </c>
      <c r="J71" s="530">
        <f>H71*I71</f>
        <v>729850</v>
      </c>
      <c r="K71" s="350">
        <v>11</v>
      </c>
      <c r="L71" s="530">
        <v>66350</v>
      </c>
      <c r="M71" s="530">
        <f>K71*L71</f>
        <v>729850</v>
      </c>
      <c r="N71" s="350">
        <v>11</v>
      </c>
      <c r="O71" s="530">
        <v>66350</v>
      </c>
      <c r="P71" s="530">
        <f>N71*O71</f>
        <v>729850</v>
      </c>
      <c r="Q71" s="622"/>
      <c r="R71" s="622"/>
      <c r="S71" s="622"/>
      <c r="T71" s="622"/>
      <c r="U71" s="332"/>
      <c r="V71" s="622"/>
    </row>
    <row r="72" spans="1:22" ht="15" x14ac:dyDescent="0.25">
      <c r="A72" s="436"/>
      <c r="B72" s="350"/>
      <c r="C72" s="350" t="s">
        <v>342</v>
      </c>
      <c r="D72" s="350"/>
      <c r="E72" s="350">
        <v>0.71</v>
      </c>
      <c r="F72" s="954">
        <v>75625</v>
      </c>
      <c r="G72" s="530">
        <f t="shared" ref="G72:G75" si="9">E72*F72</f>
        <v>53693.75</v>
      </c>
      <c r="H72" s="350">
        <v>3.4</v>
      </c>
      <c r="I72" s="530">
        <f>D65</f>
        <v>75625</v>
      </c>
      <c r="J72" s="530">
        <f t="shared" ref="J72:J77" si="10">H72*I72</f>
        <v>257125</v>
      </c>
      <c r="K72" s="350">
        <v>3.4</v>
      </c>
      <c r="L72" s="530">
        <v>75625</v>
      </c>
      <c r="M72" s="530">
        <f t="shared" ref="M72:M75" si="11">K72*L72</f>
        <v>257125</v>
      </c>
      <c r="N72" s="350">
        <v>3.4</v>
      </c>
      <c r="O72" s="530">
        <v>75625</v>
      </c>
      <c r="P72" s="530">
        <f t="shared" ref="P72:P75" si="12">N72*O72</f>
        <v>257125</v>
      </c>
      <c r="Q72" s="622"/>
      <c r="R72" s="622"/>
      <c r="S72" s="622"/>
      <c r="T72" s="622"/>
      <c r="U72" s="332"/>
      <c r="V72" s="622"/>
    </row>
    <row r="73" spans="1:22" ht="15" x14ac:dyDescent="0.25">
      <c r="A73" s="436"/>
      <c r="B73" s="350"/>
      <c r="C73" s="350" t="s">
        <v>343</v>
      </c>
      <c r="D73" s="350"/>
      <c r="E73" s="350">
        <v>2</v>
      </c>
      <c r="F73" s="954">
        <v>101275</v>
      </c>
      <c r="G73" s="530">
        <f t="shared" si="9"/>
        <v>202550</v>
      </c>
      <c r="H73" s="350">
        <v>2</v>
      </c>
      <c r="I73" s="530">
        <f>D66</f>
        <v>101275</v>
      </c>
      <c r="J73" s="530">
        <f t="shared" si="10"/>
        <v>202550</v>
      </c>
      <c r="K73" s="350">
        <v>2</v>
      </c>
      <c r="L73" s="530">
        <v>101275</v>
      </c>
      <c r="M73" s="530">
        <f t="shared" si="11"/>
        <v>202550</v>
      </c>
      <c r="N73" s="350">
        <v>2</v>
      </c>
      <c r="O73" s="530">
        <v>101275</v>
      </c>
      <c r="P73" s="530">
        <f t="shared" si="12"/>
        <v>202550</v>
      </c>
      <c r="Q73" s="622"/>
      <c r="R73" s="622"/>
      <c r="S73" s="622"/>
      <c r="T73" s="622"/>
      <c r="U73" s="332"/>
      <c r="V73" s="622"/>
    </row>
    <row r="74" spans="1:22" ht="15" x14ac:dyDescent="0.25">
      <c r="A74" s="436"/>
      <c r="B74" s="350"/>
      <c r="C74" s="350" t="s">
        <v>344</v>
      </c>
      <c r="D74" s="350"/>
      <c r="E74" s="350">
        <v>0.55000000000000004</v>
      </c>
      <c r="F74" s="954">
        <v>101075</v>
      </c>
      <c r="G74" s="530">
        <f t="shared" si="9"/>
        <v>55591.250000000007</v>
      </c>
      <c r="H74" s="350">
        <v>5.5</v>
      </c>
      <c r="I74" s="530">
        <f>D67</f>
        <v>101075</v>
      </c>
      <c r="J74" s="530">
        <f t="shared" si="10"/>
        <v>555912.5</v>
      </c>
      <c r="K74" s="350">
        <f>H74*5</f>
        <v>27.5</v>
      </c>
      <c r="L74" s="530">
        <v>101075</v>
      </c>
      <c r="M74" s="530">
        <f t="shared" si="11"/>
        <v>2779562.5</v>
      </c>
      <c r="N74" s="350">
        <f>K74*2</f>
        <v>55</v>
      </c>
      <c r="O74" s="530">
        <v>101075</v>
      </c>
      <c r="P74" s="530">
        <f t="shared" si="12"/>
        <v>5559125</v>
      </c>
      <c r="Q74" s="622"/>
      <c r="R74" s="622"/>
      <c r="S74" s="622"/>
      <c r="T74" s="622"/>
      <c r="U74" s="332"/>
      <c r="V74" s="622"/>
    </row>
    <row r="75" spans="1:22" ht="15" x14ac:dyDescent="0.25">
      <c r="A75" s="436"/>
      <c r="B75" s="350"/>
      <c r="C75" s="350" t="s">
        <v>345</v>
      </c>
      <c r="D75" s="350"/>
      <c r="E75" s="350">
        <v>3.1</v>
      </c>
      <c r="F75" s="954">
        <v>101075</v>
      </c>
      <c r="G75" s="530">
        <f t="shared" si="9"/>
        <v>313332.5</v>
      </c>
      <c r="H75" s="350">
        <v>3.1</v>
      </c>
      <c r="I75" s="530">
        <f>D67</f>
        <v>101075</v>
      </c>
      <c r="J75" s="530">
        <f t="shared" si="10"/>
        <v>313332.5</v>
      </c>
      <c r="K75" s="350">
        <v>3.1</v>
      </c>
      <c r="L75" s="530">
        <v>101075</v>
      </c>
      <c r="M75" s="530">
        <f t="shared" si="11"/>
        <v>313332.5</v>
      </c>
      <c r="N75" s="350">
        <f>K75</f>
        <v>3.1</v>
      </c>
      <c r="O75" s="530">
        <v>101075</v>
      </c>
      <c r="P75" s="530">
        <f t="shared" si="12"/>
        <v>313332.5</v>
      </c>
      <c r="Q75" s="622"/>
      <c r="R75" s="622"/>
      <c r="S75" s="622"/>
      <c r="T75" s="622"/>
      <c r="U75" s="332"/>
      <c r="V75" s="622"/>
    </row>
    <row r="76" spans="1:22" ht="15" x14ac:dyDescent="0.25">
      <c r="A76" s="436"/>
      <c r="B76" s="350"/>
      <c r="C76" s="350" t="s">
        <v>346</v>
      </c>
      <c r="D76" s="350"/>
      <c r="E76" s="350"/>
      <c r="F76" s="954"/>
      <c r="G76" s="530"/>
      <c r="H76" s="350"/>
      <c r="I76" s="530"/>
      <c r="J76" s="530"/>
      <c r="K76" s="350"/>
      <c r="L76" s="530"/>
      <c r="M76" s="530"/>
      <c r="N76" s="350"/>
      <c r="O76" s="530"/>
      <c r="P76" s="530"/>
      <c r="Q76" s="622"/>
      <c r="R76" s="622"/>
      <c r="S76" s="622"/>
      <c r="T76" s="622"/>
      <c r="U76" s="332"/>
      <c r="V76" s="622"/>
    </row>
    <row r="77" spans="1:22" ht="15" x14ac:dyDescent="0.25">
      <c r="A77" s="436"/>
      <c r="B77" s="350"/>
      <c r="C77" s="350" t="s">
        <v>143</v>
      </c>
      <c r="D77" s="955">
        <v>0.1</v>
      </c>
      <c r="E77" s="350">
        <f>SUM(E71:E76)*D77</f>
        <v>1.7360000000000004</v>
      </c>
      <c r="F77" s="954">
        <v>87855</v>
      </c>
      <c r="G77" s="530">
        <f t="shared" ref="G77" si="13">E77*F77</f>
        <v>152516.28000000003</v>
      </c>
      <c r="H77" s="350">
        <v>2.52</v>
      </c>
      <c r="I77" s="530">
        <f>D68</f>
        <v>87855</v>
      </c>
      <c r="J77" s="530">
        <f t="shared" si="10"/>
        <v>221394.6</v>
      </c>
      <c r="K77" s="350">
        <v>2.52</v>
      </c>
      <c r="L77" s="530">
        <v>87855</v>
      </c>
      <c r="M77" s="530">
        <f t="shared" ref="M77" si="14">K77*L77</f>
        <v>221394.6</v>
      </c>
      <c r="N77" s="350">
        <v>2.52</v>
      </c>
      <c r="O77" s="530">
        <v>87855</v>
      </c>
      <c r="P77" s="530">
        <f t="shared" ref="P77" si="15">N77*O77</f>
        <v>221394.6</v>
      </c>
      <c r="Q77" s="622"/>
      <c r="R77" s="622"/>
      <c r="S77" s="622"/>
      <c r="T77" s="622"/>
      <c r="U77" s="332"/>
      <c r="V77" s="622"/>
    </row>
    <row r="78" spans="1:22" ht="15" x14ac:dyDescent="0.25">
      <c r="A78" s="436"/>
      <c r="B78" s="350"/>
      <c r="C78" s="350"/>
      <c r="D78" s="350"/>
      <c r="E78" s="350"/>
      <c r="F78" s="534"/>
      <c r="G78" s="530"/>
      <c r="H78" s="350"/>
      <c r="I78" s="339"/>
      <c r="J78" s="530"/>
      <c r="K78" s="350"/>
      <c r="L78" s="339"/>
      <c r="M78" s="530"/>
      <c r="N78" s="622"/>
      <c r="O78" s="622"/>
      <c r="P78" s="622"/>
      <c r="Q78" s="622"/>
      <c r="R78" s="622"/>
      <c r="S78" s="622"/>
      <c r="T78" s="622"/>
      <c r="U78" s="332"/>
      <c r="V78" s="622"/>
    </row>
    <row r="79" spans="1:22" ht="15" x14ac:dyDescent="0.25">
      <c r="A79" s="436"/>
      <c r="B79" s="542" t="s">
        <v>81</v>
      </c>
      <c r="C79" s="542"/>
      <c r="D79" s="542"/>
      <c r="E79" s="545">
        <f>SUM(E71:E77)</f>
        <v>19.096000000000004</v>
      </c>
      <c r="F79" s="956"/>
      <c r="G79" s="547">
        <f>SUM(G71:G77)</f>
        <v>1507533.78</v>
      </c>
      <c r="H79" s="545">
        <f>SUM(H71:H77)</f>
        <v>27.52</v>
      </c>
      <c r="I79" s="546"/>
      <c r="J79" s="547">
        <f>SUM(J71:J77)</f>
        <v>2280164.6</v>
      </c>
      <c r="K79" s="545">
        <f>SUM(K71:K77)</f>
        <v>49.52</v>
      </c>
      <c r="L79" s="546"/>
      <c r="M79" s="547">
        <f>SUM(M71:M77)</f>
        <v>4503814.5999999996</v>
      </c>
      <c r="N79" s="548">
        <f t="shared" ref="N79:P79" si="16">SUM(N71:N77)</f>
        <v>77.02</v>
      </c>
      <c r="O79" s="547"/>
      <c r="P79" s="547">
        <f t="shared" si="16"/>
        <v>7283377.0999999996</v>
      </c>
      <c r="Q79" s="622"/>
      <c r="R79" s="622"/>
      <c r="S79" s="622"/>
      <c r="T79" s="622"/>
      <c r="U79" s="332"/>
      <c r="V79" s="622"/>
    </row>
    <row r="80" spans="1:22" ht="15" x14ac:dyDescent="0.25">
      <c r="A80" s="436"/>
      <c r="B80" s="350"/>
      <c r="C80" s="350"/>
      <c r="D80" s="350"/>
      <c r="E80" s="350"/>
      <c r="F80" s="534"/>
      <c r="G80" s="351"/>
      <c r="H80" s="351"/>
      <c r="I80" s="351"/>
      <c r="K80" s="350"/>
      <c r="L80" s="350"/>
      <c r="M80" s="622"/>
      <c r="N80" s="622"/>
      <c r="O80" s="622"/>
      <c r="P80" s="622"/>
      <c r="Q80" s="622"/>
      <c r="R80" s="622"/>
      <c r="S80" s="622"/>
      <c r="T80" s="622"/>
      <c r="U80" s="332"/>
      <c r="V80" s="622"/>
    </row>
    <row r="81" spans="1:22" ht="15" x14ac:dyDescent="0.25">
      <c r="A81" s="350"/>
      <c r="B81" s="350"/>
      <c r="C81" s="350"/>
      <c r="D81" s="350"/>
      <c r="E81" s="350"/>
      <c r="F81" s="491"/>
      <c r="G81" s="95" t="s">
        <v>260</v>
      </c>
      <c r="H81" s="400" t="s">
        <v>66</v>
      </c>
      <c r="I81" s="400"/>
      <c r="K81" s="350"/>
      <c r="L81" s="622"/>
      <c r="M81" s="622"/>
      <c r="N81" s="622"/>
      <c r="O81" s="622"/>
      <c r="P81" s="622"/>
      <c r="Q81" s="622"/>
      <c r="R81" s="622"/>
      <c r="S81" s="622"/>
      <c r="T81" s="622"/>
      <c r="U81" s="622"/>
      <c r="V81" s="622"/>
    </row>
    <row r="82" spans="1:22" ht="15" x14ac:dyDescent="0.25">
      <c r="A82" s="436" t="s">
        <v>77</v>
      </c>
      <c r="B82" s="436" t="s">
        <v>50</v>
      </c>
      <c r="C82" s="350"/>
      <c r="D82" s="350"/>
      <c r="E82" s="350"/>
      <c r="F82" s="953">
        <v>1</v>
      </c>
      <c r="G82" s="529">
        <v>10</v>
      </c>
      <c r="H82" s="529">
        <v>50</v>
      </c>
      <c r="I82" s="529">
        <v>100</v>
      </c>
      <c r="K82" s="350"/>
      <c r="L82" s="622"/>
      <c r="M82" s="622"/>
      <c r="N82" s="622"/>
      <c r="O82" s="622"/>
      <c r="P82" s="622"/>
      <c r="Q82" s="622"/>
      <c r="R82" s="622"/>
      <c r="S82" s="622"/>
      <c r="T82" s="622"/>
      <c r="U82" s="622"/>
      <c r="V82" s="622"/>
    </row>
    <row r="83" spans="1:22" x14ac:dyDescent="0.3">
      <c r="A83" s="436"/>
      <c r="B83" s="436"/>
      <c r="C83" s="350"/>
      <c r="D83" s="350"/>
      <c r="E83" s="350"/>
      <c r="F83" s="953"/>
      <c r="G83" s="529"/>
      <c r="H83" s="529"/>
      <c r="I83" s="529"/>
      <c r="K83" s="350"/>
      <c r="L83" s="622"/>
      <c r="M83" s="622"/>
      <c r="N83" s="622"/>
      <c r="O83" s="622"/>
      <c r="P83" s="622"/>
      <c r="Q83" s="622"/>
      <c r="R83" s="622"/>
      <c r="S83" s="622"/>
      <c r="T83" s="622"/>
      <c r="U83" s="622"/>
      <c r="V83" s="622"/>
    </row>
    <row r="84" spans="1:22" x14ac:dyDescent="0.3">
      <c r="A84" s="436"/>
      <c r="B84" s="350" t="s">
        <v>312</v>
      </c>
      <c r="C84" s="350"/>
      <c r="D84" s="350"/>
      <c r="E84" s="350"/>
      <c r="F84" s="953"/>
      <c r="G84" s="529"/>
      <c r="H84" s="529"/>
      <c r="I84" s="529"/>
      <c r="K84" s="350"/>
      <c r="L84" s="622"/>
      <c r="M84" s="622"/>
      <c r="N84" s="622"/>
      <c r="O84" s="622"/>
      <c r="P84" s="622"/>
      <c r="Q84" s="622"/>
      <c r="R84" s="622"/>
      <c r="S84" s="622"/>
      <c r="T84" s="622"/>
      <c r="U84" s="622"/>
      <c r="V84" s="622"/>
    </row>
    <row r="85" spans="1:22" x14ac:dyDescent="0.3">
      <c r="A85" s="436"/>
      <c r="B85" s="350" t="s">
        <v>351</v>
      </c>
      <c r="C85" s="350"/>
      <c r="D85" s="350"/>
      <c r="E85" s="350"/>
      <c r="F85" s="953"/>
      <c r="G85" s="529"/>
      <c r="H85" s="529"/>
      <c r="I85" s="529"/>
      <c r="K85" s="350"/>
      <c r="L85" s="622"/>
      <c r="M85" s="622"/>
      <c r="N85" s="622"/>
      <c r="O85" s="622"/>
      <c r="P85" s="622"/>
      <c r="Q85" s="622"/>
      <c r="R85" s="622"/>
      <c r="S85" s="622"/>
      <c r="T85" s="622"/>
      <c r="U85" s="622"/>
      <c r="V85" s="622"/>
    </row>
    <row r="86" spans="1:22" x14ac:dyDescent="0.3">
      <c r="A86" s="436"/>
      <c r="B86" s="350" t="s">
        <v>355</v>
      </c>
      <c r="C86" s="350"/>
      <c r="D86" s="350"/>
      <c r="E86" s="350"/>
      <c r="F86" s="953"/>
      <c r="G86" s="529"/>
      <c r="H86" s="529"/>
      <c r="I86" s="529"/>
      <c r="K86" s="350"/>
      <c r="L86" s="622"/>
      <c r="M86" s="622"/>
      <c r="N86" s="622"/>
      <c r="O86" s="622"/>
      <c r="P86" s="622"/>
      <c r="Q86" s="622"/>
      <c r="R86" s="622"/>
      <c r="S86" s="622"/>
      <c r="T86" s="622"/>
      <c r="U86" s="622"/>
      <c r="V86" s="622"/>
    </row>
    <row r="87" spans="1:22" x14ac:dyDescent="0.3">
      <c r="A87" s="436"/>
      <c r="B87" s="350" t="s">
        <v>352</v>
      </c>
      <c r="C87" s="350"/>
      <c r="D87" s="350"/>
      <c r="E87" s="350"/>
      <c r="F87" s="953"/>
      <c r="G87" s="529"/>
      <c r="H87" s="529"/>
      <c r="I87" s="529"/>
      <c r="K87" s="350"/>
      <c r="L87" s="622"/>
      <c r="M87" s="622"/>
      <c r="N87" s="622"/>
      <c r="O87" s="622"/>
      <c r="P87" s="622"/>
      <c r="Q87" s="622"/>
      <c r="R87" s="622"/>
      <c r="S87" s="622"/>
      <c r="T87" s="622"/>
      <c r="U87" s="622"/>
      <c r="V87" s="622"/>
    </row>
    <row r="88" spans="1:22" x14ac:dyDescent="0.3">
      <c r="A88" s="436"/>
      <c r="B88" s="350" t="s">
        <v>353</v>
      </c>
      <c r="C88" s="350"/>
      <c r="D88" s="350"/>
      <c r="E88" s="350"/>
      <c r="F88" s="953"/>
      <c r="G88" s="529"/>
      <c r="H88" s="529"/>
      <c r="I88" s="529"/>
      <c r="K88" s="350"/>
      <c r="L88" s="622"/>
      <c r="M88" s="622"/>
      <c r="N88" s="622"/>
      <c r="O88" s="622"/>
      <c r="P88" s="622"/>
      <c r="Q88" s="622"/>
      <c r="R88" s="622"/>
      <c r="S88" s="622"/>
      <c r="T88" s="622"/>
      <c r="U88" s="622"/>
      <c r="V88" s="622"/>
    </row>
    <row r="89" spans="1:22" x14ac:dyDescent="0.3">
      <c r="A89" s="436"/>
      <c r="B89" s="350" t="s">
        <v>354</v>
      </c>
      <c r="C89" s="350"/>
      <c r="D89" s="350"/>
      <c r="E89" s="350"/>
      <c r="F89" s="537" t="s">
        <v>98</v>
      </c>
      <c r="G89" s="536"/>
      <c r="H89" s="350"/>
      <c r="I89" s="535" t="s">
        <v>359</v>
      </c>
      <c r="J89" s="536"/>
      <c r="K89" s="350"/>
      <c r="L89" s="535" t="s">
        <v>348</v>
      </c>
      <c r="M89" s="536"/>
      <c r="N89" s="350"/>
      <c r="O89" s="535" t="s">
        <v>349</v>
      </c>
      <c r="P89" s="536"/>
      <c r="Q89" s="622"/>
      <c r="R89" s="622"/>
      <c r="S89" s="622"/>
      <c r="T89" s="622"/>
      <c r="U89" s="622"/>
      <c r="V89" s="622"/>
    </row>
    <row r="90" spans="1:22" x14ac:dyDescent="0.3">
      <c r="A90" s="436"/>
      <c r="B90" s="436"/>
      <c r="C90" s="350"/>
      <c r="D90" s="350"/>
      <c r="E90" s="534" t="s">
        <v>330</v>
      </c>
      <c r="F90" s="947" t="s">
        <v>329</v>
      </c>
      <c r="G90" s="339" t="s">
        <v>79</v>
      </c>
      <c r="H90" s="534" t="s">
        <v>330</v>
      </c>
      <c r="I90" s="419" t="s">
        <v>329</v>
      </c>
      <c r="J90" s="339" t="s">
        <v>79</v>
      </c>
      <c r="K90" s="534" t="s">
        <v>330</v>
      </c>
      <c r="L90" s="419" t="s">
        <v>329</v>
      </c>
      <c r="M90" s="339" t="s">
        <v>79</v>
      </c>
      <c r="N90" s="534" t="s">
        <v>330</v>
      </c>
      <c r="O90" s="419" t="s">
        <v>329</v>
      </c>
      <c r="P90" s="339" t="s">
        <v>79</v>
      </c>
      <c r="Q90" s="622"/>
      <c r="R90" s="622"/>
      <c r="S90" s="622"/>
      <c r="T90" s="622"/>
      <c r="U90" s="622"/>
      <c r="V90" s="622"/>
    </row>
    <row r="91" spans="1:22" x14ac:dyDescent="0.3">
      <c r="A91" s="436"/>
      <c r="B91" s="350" t="s">
        <v>356</v>
      </c>
      <c r="C91" s="350"/>
      <c r="D91" s="350"/>
      <c r="E91" s="350"/>
      <c r="F91" s="953"/>
      <c r="G91" s="529"/>
      <c r="H91" s="529"/>
      <c r="I91" s="529"/>
      <c r="K91" s="350"/>
      <c r="L91" s="622"/>
      <c r="M91" s="622"/>
      <c r="N91" s="622"/>
      <c r="O91" s="622"/>
      <c r="P91" s="622"/>
      <c r="Q91" s="622"/>
      <c r="R91" s="622"/>
      <c r="S91" s="622"/>
      <c r="T91" s="622"/>
      <c r="U91" s="622"/>
      <c r="V91" s="622"/>
    </row>
    <row r="92" spans="1:22" x14ac:dyDescent="0.3">
      <c r="A92" s="436"/>
      <c r="B92" s="350">
        <v>1</v>
      </c>
      <c r="C92" s="350" t="s">
        <v>357</v>
      </c>
      <c r="D92" s="350"/>
      <c r="E92" s="350">
        <v>8</v>
      </c>
      <c r="F92" s="953"/>
      <c r="G92" s="530">
        <v>181750</v>
      </c>
      <c r="H92" s="529"/>
      <c r="I92" s="529"/>
      <c r="J92" s="412">
        <f>G92</f>
        <v>181750</v>
      </c>
      <c r="K92" s="350"/>
      <c r="L92" s="622"/>
      <c r="M92" s="539">
        <v>181750</v>
      </c>
      <c r="N92" s="622"/>
      <c r="O92" s="622"/>
      <c r="P92" s="539">
        <v>181750</v>
      </c>
      <c r="Q92" s="622"/>
      <c r="R92" s="622"/>
      <c r="S92" s="622"/>
      <c r="T92" s="622"/>
      <c r="U92" s="622"/>
      <c r="V92" s="622"/>
    </row>
    <row r="93" spans="1:22" x14ac:dyDescent="0.3">
      <c r="A93" s="436"/>
      <c r="B93" s="350">
        <v>2</v>
      </c>
      <c r="C93" s="350" t="s">
        <v>47</v>
      </c>
      <c r="D93" s="534" t="s">
        <v>780</v>
      </c>
      <c r="E93" s="350">
        <v>1</v>
      </c>
      <c r="F93" s="954">
        <f>66775*2</f>
        <v>133550</v>
      </c>
      <c r="G93" s="530">
        <f>F93*E93</f>
        <v>133550</v>
      </c>
      <c r="H93" s="529">
        <v>10</v>
      </c>
      <c r="I93" s="530">
        <f>2*66775</f>
        <v>133550</v>
      </c>
      <c r="J93" s="412">
        <f>I93*H93</f>
        <v>1335500</v>
      </c>
      <c r="K93" s="350">
        <v>50</v>
      </c>
      <c r="L93" s="539">
        <f>2*66775</f>
        <v>133550</v>
      </c>
      <c r="M93" s="549">
        <f>L93*K93</f>
        <v>6677500</v>
      </c>
      <c r="N93" s="622">
        <v>100</v>
      </c>
      <c r="O93" s="539">
        <f>2*66775</f>
        <v>133550</v>
      </c>
      <c r="P93" s="549">
        <f>O93*N93</f>
        <v>13355000</v>
      </c>
      <c r="Q93" s="342" t="s">
        <v>781</v>
      </c>
      <c r="R93" s="622"/>
      <c r="S93" s="622"/>
      <c r="T93" s="622"/>
      <c r="U93" s="622"/>
      <c r="V93" s="622"/>
    </row>
    <row r="94" spans="1:22" x14ac:dyDescent="0.3">
      <c r="A94" s="436"/>
      <c r="B94" s="350">
        <v>3</v>
      </c>
      <c r="C94" s="350" t="s">
        <v>143</v>
      </c>
      <c r="D94" s="955">
        <v>0.1</v>
      </c>
      <c r="E94" s="350">
        <f>D94*E93</f>
        <v>0.1</v>
      </c>
      <c r="F94" s="954">
        <f>F93</f>
        <v>133550</v>
      </c>
      <c r="G94" s="530">
        <f>F94*E94</f>
        <v>13355</v>
      </c>
      <c r="H94" s="529">
        <v>1</v>
      </c>
      <c r="I94" s="530">
        <f>I93</f>
        <v>133550</v>
      </c>
      <c r="J94" s="412">
        <f>I94*H94</f>
        <v>133550</v>
      </c>
      <c r="K94" s="350">
        <v>5</v>
      </c>
      <c r="L94" s="530">
        <f>L93</f>
        <v>133550</v>
      </c>
      <c r="M94" s="549">
        <f>L94*K94</f>
        <v>667750</v>
      </c>
      <c r="N94" s="622">
        <v>10</v>
      </c>
      <c r="O94" s="530">
        <f>O93</f>
        <v>133550</v>
      </c>
      <c r="P94" s="549">
        <f>O94*N94</f>
        <v>1335500</v>
      </c>
      <c r="Q94" s="622"/>
      <c r="R94" s="622"/>
      <c r="S94" s="622"/>
      <c r="T94" s="622"/>
      <c r="U94" s="622"/>
      <c r="V94" s="622"/>
    </row>
    <row r="95" spans="1:22" x14ac:dyDescent="0.3">
      <c r="A95" s="436"/>
      <c r="B95" s="436"/>
      <c r="C95" s="350"/>
      <c r="D95" s="350"/>
      <c r="E95" s="350"/>
      <c r="F95" s="953"/>
      <c r="G95" s="529"/>
      <c r="H95" s="529"/>
      <c r="I95" s="529"/>
      <c r="K95" s="350"/>
      <c r="L95" s="622"/>
      <c r="M95" s="622"/>
      <c r="N95" s="622"/>
      <c r="O95" s="622"/>
      <c r="P95" s="622"/>
      <c r="Q95" s="622"/>
      <c r="R95" s="622"/>
      <c r="S95" s="622"/>
      <c r="T95" s="622"/>
      <c r="U95" s="622"/>
      <c r="V95" s="622"/>
    </row>
    <row r="96" spans="1:22" x14ac:dyDescent="0.3">
      <c r="A96" s="436"/>
      <c r="B96" s="542" t="s">
        <v>81</v>
      </c>
      <c r="C96" s="542"/>
      <c r="D96" s="542"/>
      <c r="E96" s="542">
        <f>SUM(E92:E94)</f>
        <v>9.1</v>
      </c>
      <c r="F96" s="542"/>
      <c r="G96" s="550">
        <f t="shared" ref="G96:P96" si="17">SUM(G92:G94)</f>
        <v>328655</v>
      </c>
      <c r="H96" s="550">
        <f t="shared" si="17"/>
        <v>11</v>
      </c>
      <c r="I96" s="550"/>
      <c r="J96" s="550">
        <f t="shared" si="17"/>
        <v>1650800</v>
      </c>
      <c r="K96" s="550">
        <f t="shared" si="17"/>
        <v>55</v>
      </c>
      <c r="L96" s="550"/>
      <c r="M96" s="550">
        <f t="shared" si="17"/>
        <v>7527000</v>
      </c>
      <c r="N96" s="550">
        <f t="shared" si="17"/>
        <v>110</v>
      </c>
      <c r="O96" s="550"/>
      <c r="P96" s="550">
        <f t="shared" si="17"/>
        <v>14872250</v>
      </c>
      <c r="Q96" s="622"/>
      <c r="R96" s="622"/>
      <c r="S96" s="622"/>
      <c r="T96" s="622"/>
      <c r="U96" s="622"/>
      <c r="V96" s="622"/>
    </row>
    <row r="97" spans="1:22" x14ac:dyDescent="0.3">
      <c r="A97" s="436"/>
      <c r="B97" s="436"/>
      <c r="C97" s="350"/>
      <c r="D97" s="350"/>
      <c r="E97" s="350"/>
      <c r="F97" s="953"/>
      <c r="G97" s="529"/>
      <c r="H97" s="529"/>
      <c r="I97" s="529"/>
      <c r="K97" s="350"/>
      <c r="L97" s="622"/>
      <c r="M97" s="622"/>
      <c r="N97" s="622"/>
      <c r="O97" s="622"/>
      <c r="P97" s="622"/>
      <c r="Q97" s="622"/>
      <c r="R97" s="622"/>
      <c r="S97" s="622"/>
      <c r="T97" s="622"/>
      <c r="U97" s="622"/>
      <c r="V97" s="622"/>
    </row>
    <row r="98" spans="1:22" x14ac:dyDescent="0.3">
      <c r="A98" s="622"/>
      <c r="B98" s="622"/>
      <c r="C98" s="349"/>
      <c r="D98" s="349"/>
      <c r="E98" s="349"/>
      <c r="F98" s="349"/>
      <c r="G98" s="349"/>
      <c r="H98" s="349"/>
      <c r="I98" s="349"/>
      <c r="K98" s="622"/>
      <c r="L98" s="622"/>
      <c r="M98" s="622"/>
      <c r="N98" s="622"/>
      <c r="O98" s="622"/>
      <c r="P98" s="622"/>
      <c r="Q98" s="622"/>
      <c r="R98" s="623"/>
      <c r="S98" s="623"/>
      <c r="T98" s="623"/>
      <c r="U98" s="623"/>
      <c r="V98" s="623"/>
    </row>
    <row r="99" spans="1:22" x14ac:dyDescent="0.3">
      <c r="A99" s="342" t="s">
        <v>78</v>
      </c>
      <c r="B99" s="342" t="s">
        <v>51</v>
      </c>
      <c r="C99" s="622"/>
      <c r="D99" s="622"/>
      <c r="E99" s="622"/>
      <c r="F99" s="339" t="s">
        <v>85</v>
      </c>
      <c r="G99" s="351" t="s">
        <v>107</v>
      </c>
      <c r="H99" s="351" t="s">
        <v>109</v>
      </c>
      <c r="I99" s="351" t="s">
        <v>108</v>
      </c>
      <c r="K99" s="622"/>
      <c r="L99" s="623"/>
      <c r="M99" s="623"/>
      <c r="N99" s="623"/>
      <c r="O99" s="623"/>
      <c r="P99" s="623"/>
      <c r="Q99" s="623"/>
      <c r="R99" s="623"/>
      <c r="S99" s="623"/>
      <c r="T99" s="623"/>
      <c r="U99" s="623"/>
      <c r="V99" s="623"/>
    </row>
    <row r="100" spans="1:22" x14ac:dyDescent="0.3">
      <c r="A100" s="342"/>
      <c r="B100" s="342"/>
      <c r="C100" s="622"/>
      <c r="D100" s="622"/>
      <c r="E100" s="622"/>
      <c r="F100" s="339"/>
      <c r="G100" s="351"/>
      <c r="H100" s="351"/>
      <c r="I100" s="351"/>
      <c r="K100" s="622"/>
      <c r="L100" s="623"/>
      <c r="M100" s="623"/>
      <c r="N100" s="623"/>
      <c r="O100" s="623"/>
      <c r="P100" s="623"/>
      <c r="Q100" s="623"/>
      <c r="R100" s="623"/>
      <c r="S100" s="623"/>
      <c r="T100" s="623"/>
      <c r="U100" s="623"/>
      <c r="V100" s="623"/>
    </row>
    <row r="101" spans="1:22" x14ac:dyDescent="0.3">
      <c r="A101" s="342"/>
      <c r="B101" s="622" t="s">
        <v>360</v>
      </c>
      <c r="C101" s="622"/>
      <c r="D101" s="622"/>
      <c r="E101" s="622"/>
      <c r="F101" s="339"/>
      <c r="G101" s="351"/>
      <c r="H101" s="351"/>
      <c r="I101" s="351"/>
      <c r="K101" s="622"/>
      <c r="L101" s="623"/>
      <c r="M101" s="623"/>
      <c r="N101" s="623"/>
      <c r="O101" s="623"/>
      <c r="P101" s="623"/>
      <c r="Q101" s="623"/>
      <c r="R101" s="623"/>
      <c r="S101" s="623"/>
      <c r="T101" s="623"/>
      <c r="U101" s="623"/>
      <c r="V101" s="623"/>
    </row>
    <row r="102" spans="1:22" x14ac:dyDescent="0.3">
      <c r="A102" s="342"/>
      <c r="B102" s="622" t="s">
        <v>361</v>
      </c>
      <c r="C102" s="622"/>
      <c r="D102" s="622"/>
      <c r="E102" s="622"/>
      <c r="F102" s="339"/>
      <c r="G102" s="351"/>
      <c r="H102" s="351"/>
      <c r="I102" s="351"/>
      <c r="K102" s="622"/>
      <c r="L102" s="623"/>
      <c r="M102" s="623"/>
      <c r="N102" s="623"/>
      <c r="O102" s="623"/>
      <c r="P102" s="623"/>
      <c r="Q102" s="623"/>
      <c r="R102" s="623"/>
      <c r="S102" s="623"/>
      <c r="T102" s="623"/>
      <c r="U102" s="623"/>
      <c r="V102" s="623"/>
    </row>
    <row r="103" spans="1:22" x14ac:dyDescent="0.3">
      <c r="A103" s="622"/>
      <c r="B103" s="342"/>
      <c r="C103" s="622"/>
      <c r="D103" s="622"/>
      <c r="E103" s="622"/>
      <c r="F103" s="352"/>
      <c r="G103" s="352"/>
      <c r="H103" s="352"/>
      <c r="I103" s="352"/>
      <c r="K103" s="622"/>
      <c r="L103" s="623"/>
      <c r="M103" s="623"/>
      <c r="N103" s="623"/>
      <c r="O103" s="623"/>
      <c r="P103" s="623"/>
      <c r="Q103" s="623"/>
      <c r="R103" s="623"/>
      <c r="S103" s="623"/>
      <c r="T103" s="623"/>
      <c r="U103" s="623"/>
      <c r="V103" s="623"/>
    </row>
    <row r="104" spans="1:22" x14ac:dyDescent="0.3">
      <c r="A104" s="622"/>
      <c r="B104" s="331" t="s">
        <v>81</v>
      </c>
      <c r="C104" s="331"/>
      <c r="D104" s="331"/>
      <c r="E104" s="331"/>
      <c r="F104" s="335">
        <f>G96</f>
        <v>328655</v>
      </c>
      <c r="G104" s="335">
        <f>J96</f>
        <v>1650800</v>
      </c>
      <c r="H104" s="335">
        <f>M96</f>
        <v>7527000</v>
      </c>
      <c r="I104" s="335">
        <f>P96</f>
        <v>14872250</v>
      </c>
      <c r="K104" s="622"/>
      <c r="L104" s="623"/>
      <c r="M104" s="623"/>
      <c r="N104" s="623"/>
      <c r="O104" s="623"/>
      <c r="P104" s="623"/>
      <c r="Q104" s="623"/>
      <c r="R104" s="623"/>
      <c r="S104" s="623"/>
      <c r="T104" s="623"/>
      <c r="U104" s="623"/>
      <c r="V104" s="623"/>
    </row>
    <row r="105" spans="1:22" x14ac:dyDescent="0.3">
      <c r="A105" s="622"/>
      <c r="B105" s="622"/>
      <c r="C105" s="622"/>
      <c r="D105" s="622"/>
      <c r="E105" s="622"/>
      <c r="F105" s="622"/>
      <c r="G105" s="622"/>
      <c r="H105" s="622"/>
      <c r="I105" s="622"/>
      <c r="J105" s="622"/>
      <c r="K105" s="622"/>
      <c r="L105" s="623"/>
      <c r="M105" s="623"/>
      <c r="N105" s="623"/>
      <c r="O105" s="623"/>
      <c r="P105" s="623"/>
      <c r="Q105" s="623"/>
      <c r="R105" s="623"/>
      <c r="S105" s="623"/>
      <c r="T105" s="623"/>
      <c r="U105" s="623"/>
      <c r="V105" s="623"/>
    </row>
    <row r="106" spans="1:22" x14ac:dyDescent="0.3">
      <c r="A106" s="622"/>
      <c r="B106" s="622"/>
      <c r="C106" s="622"/>
      <c r="D106" s="622"/>
      <c r="E106" s="622"/>
      <c r="F106" s="622"/>
      <c r="G106" s="622"/>
      <c r="H106" s="622"/>
      <c r="I106" s="622"/>
      <c r="J106" s="622"/>
      <c r="K106" s="622"/>
      <c r="L106" s="623"/>
      <c r="M106" s="623"/>
      <c r="N106" s="623"/>
      <c r="O106" s="623"/>
      <c r="P106" s="623"/>
      <c r="Q106" s="623"/>
      <c r="R106" s="623"/>
      <c r="S106" s="623"/>
      <c r="T106" s="623"/>
      <c r="U106" s="623"/>
      <c r="V106" s="623"/>
    </row>
    <row r="107" spans="1:22" x14ac:dyDescent="0.3">
      <c r="A107" s="342" t="s">
        <v>149</v>
      </c>
      <c r="B107" s="622"/>
      <c r="C107" s="622"/>
      <c r="D107" s="622"/>
      <c r="E107" s="622"/>
      <c r="F107" s="622"/>
      <c r="G107" s="622"/>
      <c r="H107" s="622"/>
      <c r="I107" s="622"/>
      <c r="J107" s="622"/>
      <c r="K107" s="622"/>
      <c r="L107" s="623"/>
      <c r="M107" s="623"/>
      <c r="N107" s="623"/>
      <c r="O107" s="623"/>
      <c r="P107" s="623"/>
      <c r="Q107" s="623"/>
      <c r="R107" s="623"/>
      <c r="S107" s="623"/>
      <c r="T107" s="623"/>
      <c r="U107" s="623"/>
      <c r="V107" s="623"/>
    </row>
    <row r="108" spans="1:22" x14ac:dyDescent="0.3">
      <c r="A108" s="622" t="s">
        <v>73</v>
      </c>
      <c r="B108" s="622"/>
      <c r="C108" s="622"/>
      <c r="D108" s="622"/>
      <c r="E108" s="622"/>
      <c r="F108" s="622"/>
      <c r="G108" s="622"/>
      <c r="H108" s="622"/>
      <c r="I108" s="622"/>
      <c r="J108" s="622"/>
      <c r="K108" s="622"/>
      <c r="L108" s="623"/>
      <c r="M108" s="623"/>
      <c r="N108" s="623"/>
      <c r="O108" s="623"/>
      <c r="P108" s="623"/>
      <c r="Q108" s="623"/>
      <c r="R108" s="623"/>
      <c r="S108" s="623"/>
      <c r="T108" s="623"/>
      <c r="U108" s="623"/>
      <c r="V108" s="623"/>
    </row>
    <row r="109" spans="1:22" x14ac:dyDescent="0.3">
      <c r="A109" s="622" t="s">
        <v>74</v>
      </c>
      <c r="B109" s="622" t="s">
        <v>469</v>
      </c>
      <c r="C109" s="622"/>
      <c r="D109" s="622"/>
      <c r="E109" s="622"/>
      <c r="F109" s="622"/>
      <c r="G109" s="622"/>
      <c r="H109" s="622"/>
      <c r="I109" s="622"/>
      <c r="J109" s="622"/>
      <c r="K109" s="622"/>
      <c r="L109" s="623"/>
      <c r="M109" s="623"/>
      <c r="N109" s="623"/>
      <c r="O109" s="623"/>
      <c r="P109" s="623"/>
      <c r="Q109" s="623"/>
      <c r="R109" s="623"/>
      <c r="S109" s="623"/>
      <c r="T109" s="623"/>
      <c r="U109" s="623"/>
      <c r="V109" s="623"/>
    </row>
    <row r="110" spans="1:22" x14ac:dyDescent="0.3">
      <c r="A110" s="622" t="s">
        <v>75</v>
      </c>
      <c r="B110" s="622" t="s">
        <v>469</v>
      </c>
      <c r="C110" s="622"/>
      <c r="D110" s="622"/>
      <c r="E110" s="622"/>
      <c r="F110" s="622"/>
      <c r="G110" s="622"/>
      <c r="H110" s="622"/>
      <c r="I110" s="622"/>
      <c r="J110" s="622"/>
      <c r="K110" s="622"/>
      <c r="L110" s="623"/>
      <c r="M110" s="623"/>
      <c r="N110" s="623"/>
      <c r="O110" s="623"/>
      <c r="P110" s="623"/>
      <c r="Q110" s="623"/>
      <c r="R110" s="623"/>
      <c r="S110" s="623"/>
      <c r="T110" s="623"/>
      <c r="U110" s="623"/>
      <c r="V110" s="623"/>
    </row>
    <row r="111" spans="1:22" x14ac:dyDescent="0.3">
      <c r="A111" s="622" t="s">
        <v>76</v>
      </c>
      <c r="B111" s="622" t="s">
        <v>469</v>
      </c>
      <c r="C111" s="622"/>
      <c r="D111" s="622"/>
      <c r="E111" s="622"/>
      <c r="F111" s="622"/>
      <c r="G111" s="622"/>
      <c r="H111" s="622"/>
      <c r="I111" s="622"/>
      <c r="J111" s="622"/>
      <c r="K111" s="622"/>
      <c r="L111" s="623"/>
      <c r="M111" s="623"/>
      <c r="N111" s="623"/>
      <c r="O111" s="623"/>
      <c r="P111" s="623"/>
      <c r="Q111" s="623"/>
      <c r="R111" s="623"/>
      <c r="S111" s="623"/>
      <c r="T111" s="623"/>
      <c r="U111" s="623"/>
      <c r="V111" s="623"/>
    </row>
    <row r="112" spans="1:22" x14ac:dyDescent="0.3">
      <c r="A112" s="622" t="s">
        <v>77</v>
      </c>
      <c r="B112" s="622" t="s">
        <v>469</v>
      </c>
      <c r="C112" s="622"/>
      <c r="D112" s="622"/>
      <c r="E112" s="622"/>
      <c r="F112" s="622"/>
      <c r="G112" s="622"/>
      <c r="H112" s="622"/>
      <c r="I112" s="622"/>
      <c r="J112" s="622"/>
      <c r="K112" s="622"/>
      <c r="L112" s="623"/>
      <c r="M112" s="623"/>
      <c r="N112" s="623"/>
      <c r="O112" s="623"/>
      <c r="P112" s="623"/>
      <c r="Q112" s="623"/>
      <c r="R112" s="623"/>
      <c r="S112" s="623"/>
      <c r="T112" s="623"/>
      <c r="U112" s="623"/>
      <c r="V112" s="623"/>
    </row>
    <row r="113" spans="1:22" x14ac:dyDescent="0.3">
      <c r="A113" s="622" t="s">
        <v>78</v>
      </c>
      <c r="B113" s="622" t="s">
        <v>469</v>
      </c>
      <c r="C113" s="622"/>
      <c r="D113" s="622"/>
      <c r="E113" s="622"/>
      <c r="F113" s="622"/>
      <c r="G113" s="622"/>
      <c r="H113" s="622"/>
      <c r="I113" s="622"/>
      <c r="J113" s="622"/>
      <c r="K113" s="622"/>
      <c r="L113" s="623"/>
      <c r="M113" s="623"/>
      <c r="N113" s="623"/>
      <c r="O113" s="623"/>
      <c r="P113" s="623"/>
      <c r="Q113" s="623"/>
      <c r="R113" s="623"/>
      <c r="S113" s="623"/>
      <c r="T113" s="623"/>
      <c r="U113" s="623"/>
      <c r="V113" s="623"/>
    </row>
    <row r="114" spans="1:22" x14ac:dyDescent="0.3">
      <c r="A114" s="622"/>
      <c r="B114" s="622"/>
      <c r="C114" s="622"/>
      <c r="D114" s="622"/>
      <c r="E114" s="622"/>
      <c r="F114" s="622"/>
      <c r="G114" s="622"/>
      <c r="H114" s="622"/>
      <c r="I114" s="622"/>
      <c r="J114" s="622"/>
      <c r="K114" s="622"/>
      <c r="L114" s="623"/>
      <c r="M114" s="623"/>
      <c r="N114" s="623"/>
      <c r="O114" s="623"/>
      <c r="P114" s="623"/>
      <c r="Q114" s="623"/>
      <c r="R114" s="623"/>
      <c r="S114" s="623"/>
      <c r="T114" s="623"/>
      <c r="U114" s="623"/>
      <c r="V114" s="623"/>
    </row>
    <row r="115" spans="1:22" x14ac:dyDescent="0.3">
      <c r="A115" s="342" t="s">
        <v>213</v>
      </c>
      <c r="B115" s="622"/>
      <c r="C115" s="622"/>
      <c r="D115" s="622"/>
      <c r="E115" s="622"/>
      <c r="F115" s="622"/>
      <c r="G115" s="622"/>
      <c r="H115" s="622"/>
      <c r="I115" s="622"/>
      <c r="J115" s="622"/>
      <c r="K115" s="622"/>
      <c r="L115" s="623"/>
      <c r="M115" s="623"/>
      <c r="N115" s="623"/>
      <c r="O115" s="623"/>
      <c r="P115" s="623"/>
      <c r="Q115" s="623"/>
      <c r="R115" s="623"/>
      <c r="S115" s="623"/>
      <c r="T115" s="623"/>
      <c r="U115" s="623"/>
      <c r="V115" s="623"/>
    </row>
    <row r="116" spans="1:22" x14ac:dyDescent="0.3">
      <c r="A116" s="622" t="s">
        <v>73</v>
      </c>
      <c r="B116" s="622" t="s">
        <v>468</v>
      </c>
      <c r="C116" s="622"/>
      <c r="D116" s="622"/>
      <c r="E116" s="622"/>
      <c r="F116" s="622"/>
      <c r="G116" s="622"/>
      <c r="H116" s="622"/>
      <c r="I116" s="622"/>
      <c r="J116" s="622"/>
      <c r="K116" s="622"/>
    </row>
    <row r="117" spans="1:22" x14ac:dyDescent="0.3">
      <c r="A117" s="622" t="s">
        <v>74</v>
      </c>
      <c r="B117" s="622" t="s">
        <v>468</v>
      </c>
      <c r="C117" s="622"/>
      <c r="D117" s="622"/>
      <c r="E117" s="622"/>
      <c r="F117" s="622"/>
      <c r="G117" s="622"/>
      <c r="H117" s="622"/>
      <c r="I117" s="622"/>
      <c r="J117" s="622"/>
      <c r="K117" s="622"/>
    </row>
    <row r="118" spans="1:22" x14ac:dyDescent="0.3">
      <c r="A118" s="622" t="s">
        <v>75</v>
      </c>
      <c r="B118" s="622" t="s">
        <v>468</v>
      </c>
      <c r="C118" s="622"/>
      <c r="D118" s="622"/>
      <c r="E118" s="622"/>
      <c r="F118" s="622"/>
      <c r="G118" s="622"/>
      <c r="H118" s="622"/>
      <c r="I118" s="622"/>
      <c r="J118" s="622"/>
      <c r="K118" s="622"/>
    </row>
    <row r="119" spans="1:22" x14ac:dyDescent="0.3">
      <c r="A119" s="622" t="s">
        <v>76</v>
      </c>
      <c r="B119" s="622" t="s">
        <v>468</v>
      </c>
      <c r="C119" s="622"/>
      <c r="D119" s="622"/>
      <c r="E119" s="622"/>
      <c r="F119" s="622"/>
      <c r="G119" s="622"/>
      <c r="H119" s="622"/>
      <c r="I119" s="622"/>
      <c r="J119" s="622"/>
      <c r="K119" s="622"/>
    </row>
    <row r="120" spans="1:22" s="611" customFormat="1" x14ac:dyDescent="0.3">
      <c r="A120" s="342" t="s">
        <v>77</v>
      </c>
      <c r="B120" s="342" t="s">
        <v>798</v>
      </c>
      <c r="C120" s="342"/>
      <c r="D120" s="342"/>
      <c r="E120" s="342"/>
      <c r="F120" s="342"/>
      <c r="G120" s="342"/>
      <c r="H120" s="342"/>
      <c r="I120" s="342"/>
      <c r="J120" s="342"/>
      <c r="K120" s="342"/>
    </row>
    <row r="121" spans="1:22" x14ac:dyDescent="0.3">
      <c r="A121" s="622" t="s">
        <v>78</v>
      </c>
      <c r="B121" s="622" t="s">
        <v>468</v>
      </c>
      <c r="C121" s="622"/>
      <c r="D121" s="622"/>
      <c r="E121" s="622"/>
      <c r="F121" s="622"/>
      <c r="G121" s="622"/>
      <c r="H121" s="622"/>
      <c r="I121" s="622"/>
      <c r="J121" s="622"/>
      <c r="K121" s="622"/>
    </row>
    <row r="122" spans="1:22" x14ac:dyDescent="0.3">
      <c r="A122" s="622"/>
      <c r="B122" s="622"/>
      <c r="C122" s="622"/>
      <c r="D122" s="622"/>
      <c r="E122" s="622"/>
      <c r="F122" s="622"/>
      <c r="G122" s="622"/>
      <c r="H122" s="622"/>
      <c r="I122" s="622"/>
      <c r="J122" s="622"/>
      <c r="K122" s="622"/>
    </row>
    <row r="123" spans="1:22" x14ac:dyDescent="0.3">
      <c r="A123" s="622"/>
      <c r="B123" s="622"/>
      <c r="C123" s="622"/>
      <c r="D123" s="622"/>
      <c r="E123" s="622"/>
      <c r="F123" s="622"/>
      <c r="G123" s="622"/>
      <c r="H123" s="622"/>
      <c r="I123" s="622"/>
      <c r="J123" s="622"/>
      <c r="K123" s="622"/>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V123"/>
  <sheetViews>
    <sheetView topLeftCell="A34" zoomScale="70" zoomScaleNormal="70" zoomScalePageLayoutView="70" workbookViewId="0">
      <selection activeCell="K8" sqref="K8"/>
    </sheetView>
  </sheetViews>
  <sheetFormatPr defaultColWidth="8.88671875" defaultRowHeight="14.4" x14ac:dyDescent="0.3"/>
  <cols>
    <col min="1" max="1" width="6.88671875" style="5" customWidth="1"/>
    <col min="2" max="2" width="3.6640625" style="5" customWidth="1"/>
    <col min="3" max="3" width="25.44140625" style="5" customWidth="1"/>
    <col min="4" max="4" width="31.44140625" style="5" customWidth="1"/>
    <col min="5" max="5" width="13.44140625" style="5" customWidth="1"/>
    <col min="6" max="6" width="15" style="5" bestFit="1" customWidth="1"/>
    <col min="7" max="7" width="16.88671875" style="5" bestFit="1" customWidth="1"/>
    <col min="8" max="8" width="16.44140625" style="5" bestFit="1" customWidth="1"/>
    <col min="9" max="9" width="15.88671875" style="5" customWidth="1"/>
    <col min="10" max="10" width="13.33203125" style="5" customWidth="1"/>
    <col min="11" max="11" width="13.44140625" style="5" bestFit="1" customWidth="1"/>
    <col min="12" max="12" width="13.109375" style="5" bestFit="1" customWidth="1"/>
    <col min="13" max="13" width="14.44140625" style="5" bestFit="1" customWidth="1"/>
    <col min="14" max="14" width="14" style="5" customWidth="1"/>
    <col min="15" max="15" width="13.109375" style="5" bestFit="1" customWidth="1"/>
    <col min="16" max="16" width="15.44140625" style="5" bestFit="1" customWidth="1"/>
    <col min="17" max="17" width="15" style="5" customWidth="1"/>
    <col min="18" max="18" width="13.44140625" style="5" bestFit="1" customWidth="1"/>
    <col min="19" max="19" width="12" style="5" bestFit="1" customWidth="1"/>
    <col min="20" max="20" width="10.6640625" style="5" customWidth="1"/>
    <col min="21" max="21" width="13.44140625" style="5" bestFit="1" customWidth="1"/>
    <col min="22" max="22" width="15.33203125" style="5" customWidth="1"/>
    <col min="23" max="16384" width="8.88671875" style="5"/>
  </cols>
  <sheetData>
    <row r="1" spans="1:22" s="10" customFormat="1" ht="15" x14ac:dyDescent="0.25">
      <c r="A1" s="342" t="s">
        <v>369</v>
      </c>
      <c r="B1" s="374"/>
      <c r="C1" s="374"/>
      <c r="D1" s="374"/>
      <c r="E1" s="374"/>
      <c r="F1" s="374"/>
      <c r="G1" s="374"/>
      <c r="H1" s="374"/>
      <c r="I1" s="374"/>
      <c r="J1" s="374"/>
      <c r="K1" s="374"/>
      <c r="L1" s="374"/>
      <c r="M1" s="374"/>
      <c r="N1" s="374"/>
      <c r="O1" s="374"/>
      <c r="P1" s="434"/>
      <c r="Q1" s="434"/>
      <c r="R1" s="434"/>
      <c r="S1" s="434"/>
      <c r="T1" s="434"/>
      <c r="U1" s="374"/>
      <c r="V1" s="374"/>
    </row>
    <row r="2" spans="1:22" s="66" customFormat="1" ht="15" x14ac:dyDescent="0.25">
      <c r="A2" s="374"/>
      <c r="B2" s="374"/>
      <c r="C2" s="374"/>
      <c r="D2" s="374"/>
      <c r="E2" s="374"/>
      <c r="F2" s="374"/>
      <c r="G2" s="374"/>
      <c r="H2" s="374"/>
      <c r="I2" s="374"/>
      <c r="J2" s="374"/>
      <c r="K2" s="374"/>
      <c r="L2" s="374"/>
      <c r="M2" s="374"/>
      <c r="N2" s="374"/>
      <c r="O2" s="374"/>
      <c r="P2" s="434"/>
      <c r="Q2" s="434"/>
      <c r="R2" s="434"/>
      <c r="S2" s="434"/>
      <c r="T2" s="434"/>
      <c r="U2" s="374"/>
      <c r="V2" s="374"/>
    </row>
    <row r="3" spans="1:22" s="58" customFormat="1" ht="15" x14ac:dyDescent="0.25">
      <c r="A3" s="342" t="s">
        <v>110</v>
      </c>
      <c r="B3" s="374"/>
      <c r="C3" s="374"/>
      <c r="D3" s="374"/>
      <c r="E3" s="374"/>
      <c r="F3" s="374"/>
      <c r="G3" s="374"/>
      <c r="H3" s="374"/>
      <c r="I3" s="374"/>
      <c r="J3" s="374"/>
      <c r="K3" s="374"/>
      <c r="L3" s="374"/>
      <c r="M3" s="374"/>
      <c r="N3" s="374"/>
      <c r="O3" s="374"/>
      <c r="P3" s="434"/>
      <c r="Q3" s="434"/>
      <c r="R3" s="434"/>
      <c r="S3" s="434"/>
      <c r="T3" s="434"/>
      <c r="U3" s="374"/>
      <c r="V3" s="374"/>
    </row>
    <row r="4" spans="1:22" s="58" customFormat="1" ht="15" x14ac:dyDescent="0.25">
      <c r="A4" s="374"/>
      <c r="B4" s="374"/>
      <c r="C4" s="374"/>
      <c r="D4" s="374"/>
      <c r="E4" s="374" t="s">
        <v>66</v>
      </c>
      <c r="F4" s="374">
        <v>1</v>
      </c>
      <c r="G4" s="374">
        <v>10</v>
      </c>
      <c r="H4" s="374">
        <v>50</v>
      </c>
      <c r="I4" s="374">
        <v>100</v>
      </c>
      <c r="J4" s="374"/>
      <c r="K4" s="374"/>
      <c r="L4" s="374"/>
      <c r="M4" s="374"/>
      <c r="N4" s="374"/>
      <c r="O4" s="374"/>
      <c r="P4" s="434"/>
      <c r="Q4" s="486"/>
      <c r="R4" s="434"/>
      <c r="S4" s="434"/>
      <c r="T4" s="434"/>
      <c r="U4" s="374"/>
      <c r="V4" s="374"/>
    </row>
    <row r="5" spans="1:22" s="58" customFormat="1" ht="15" x14ac:dyDescent="0.25">
      <c r="A5" s="374"/>
      <c r="B5" s="344" t="s">
        <v>73</v>
      </c>
      <c r="C5" s="374"/>
      <c r="D5" s="374" t="s">
        <v>48</v>
      </c>
      <c r="E5" s="374"/>
      <c r="F5" s="352">
        <f>F20</f>
        <v>29750</v>
      </c>
      <c r="G5" s="352">
        <f>G20</f>
        <v>297500</v>
      </c>
      <c r="H5" s="352">
        <f>H20</f>
        <v>1487500</v>
      </c>
      <c r="I5" s="352">
        <f>I20</f>
        <v>2975000</v>
      </c>
      <c r="J5" s="374"/>
      <c r="K5" s="374"/>
      <c r="L5" s="374"/>
      <c r="M5" s="374"/>
      <c r="N5" s="374"/>
      <c r="O5" s="374"/>
      <c r="P5" s="486"/>
      <c r="Q5" s="487"/>
      <c r="R5" s="487"/>
      <c r="S5" s="487"/>
      <c r="T5" s="487"/>
      <c r="U5" s="374"/>
      <c r="V5" s="374"/>
    </row>
    <row r="6" spans="1:22" s="58" customFormat="1" ht="15" x14ac:dyDescent="0.25">
      <c r="A6" s="374"/>
      <c r="B6" s="344" t="s">
        <v>74</v>
      </c>
      <c r="C6" s="374"/>
      <c r="D6" s="374" t="s">
        <v>49</v>
      </c>
      <c r="E6" s="374"/>
      <c r="F6" s="352">
        <f>F34</f>
        <v>667000</v>
      </c>
      <c r="G6" s="352">
        <f t="shared" ref="G6:I6" si="0">G34</f>
        <v>767200</v>
      </c>
      <c r="H6" s="352">
        <f t="shared" si="0"/>
        <v>767200</v>
      </c>
      <c r="I6" s="352">
        <f t="shared" si="0"/>
        <v>1534000</v>
      </c>
      <c r="J6" s="374"/>
      <c r="K6" s="374"/>
      <c r="L6" s="374"/>
      <c r="M6" s="374"/>
      <c r="N6" s="374"/>
      <c r="O6" s="374"/>
      <c r="P6" s="486"/>
      <c r="Q6" s="487"/>
      <c r="R6" s="487"/>
      <c r="S6" s="487"/>
      <c r="T6" s="487"/>
      <c r="U6" s="374"/>
      <c r="V6" s="374"/>
    </row>
    <row r="7" spans="1:22" s="58" customFormat="1" ht="15" x14ac:dyDescent="0.25">
      <c r="A7" s="374"/>
      <c r="B7" s="344" t="s">
        <v>75</v>
      </c>
      <c r="C7" s="374"/>
      <c r="D7" s="374" t="s">
        <v>71</v>
      </c>
      <c r="E7" s="374"/>
      <c r="F7" s="352">
        <f>G52</f>
        <v>3193833.5500000003</v>
      </c>
      <c r="G7" s="352">
        <f>J52</f>
        <v>3904558.5555555555</v>
      </c>
      <c r="H7" s="352">
        <f>M52</f>
        <v>7063960.777777778</v>
      </c>
      <c r="I7" s="352">
        <f>P52</f>
        <v>11013213.555555556</v>
      </c>
      <c r="J7" s="374"/>
      <c r="K7" s="374"/>
      <c r="L7" s="374"/>
      <c r="M7" s="374"/>
      <c r="N7" s="374"/>
      <c r="O7" s="374"/>
      <c r="P7" s="486"/>
      <c r="Q7" s="487"/>
      <c r="R7" s="487"/>
      <c r="S7" s="487"/>
      <c r="T7" s="487"/>
      <c r="U7" s="374"/>
      <c r="V7" s="374"/>
    </row>
    <row r="8" spans="1:22" s="58" customFormat="1" ht="15" x14ac:dyDescent="0.25">
      <c r="A8" s="374"/>
      <c r="B8" s="344" t="s">
        <v>76</v>
      </c>
      <c r="C8" s="374"/>
      <c r="D8" s="374" t="s">
        <v>233</v>
      </c>
      <c r="E8" s="374"/>
      <c r="F8" s="352">
        <f>G79</f>
        <v>1507533.78</v>
      </c>
      <c r="G8" s="352">
        <f>J79</f>
        <v>2280164.6</v>
      </c>
      <c r="H8" s="352">
        <f>M79</f>
        <v>4503814.5999999996</v>
      </c>
      <c r="I8" s="352">
        <f>P79</f>
        <v>7283377.0999999996</v>
      </c>
      <c r="J8" s="374"/>
      <c r="K8" s="374"/>
      <c r="L8" s="374"/>
      <c r="M8" s="374"/>
      <c r="N8" s="374"/>
      <c r="O8" s="374"/>
      <c r="P8" s="486"/>
      <c r="Q8" s="487"/>
      <c r="R8" s="487"/>
      <c r="S8" s="487"/>
      <c r="T8" s="487"/>
      <c r="U8" s="374"/>
      <c r="V8" s="374"/>
    </row>
    <row r="9" spans="1:22" s="58" customFormat="1" ht="15" x14ac:dyDescent="0.25">
      <c r="A9" s="374"/>
      <c r="B9" s="344" t="s">
        <v>77</v>
      </c>
      <c r="C9" s="374"/>
      <c r="D9" s="374" t="s">
        <v>50</v>
      </c>
      <c r="E9" s="374"/>
      <c r="F9" s="352">
        <f>G96</f>
        <v>255202.5</v>
      </c>
      <c r="G9" s="352">
        <f>J96</f>
        <v>916275</v>
      </c>
      <c r="H9" s="352">
        <f>M96</f>
        <v>3854375</v>
      </c>
      <c r="I9" s="352">
        <f>P96</f>
        <v>7527000</v>
      </c>
      <c r="J9" s="374"/>
      <c r="K9" s="374"/>
      <c r="L9" s="374"/>
      <c r="M9" s="374"/>
      <c r="N9" s="374"/>
      <c r="O9" s="374"/>
      <c r="P9" s="486"/>
      <c r="Q9" s="487"/>
      <c r="R9" s="487"/>
      <c r="S9" s="487"/>
      <c r="T9" s="487"/>
      <c r="U9" s="374"/>
      <c r="V9" s="374"/>
    </row>
    <row r="10" spans="1:22" s="58" customFormat="1" ht="15" x14ac:dyDescent="0.25">
      <c r="A10" s="374"/>
      <c r="B10" s="344" t="s">
        <v>78</v>
      </c>
      <c r="C10" s="374"/>
      <c r="D10" s="374" t="s">
        <v>51</v>
      </c>
      <c r="E10" s="374"/>
      <c r="F10" s="352">
        <f>F104</f>
        <v>255202.5</v>
      </c>
      <c r="G10" s="352">
        <f>G104</f>
        <v>916275</v>
      </c>
      <c r="H10" s="352">
        <f>H104</f>
        <v>3854375</v>
      </c>
      <c r="I10" s="352">
        <f>I104</f>
        <v>7527000</v>
      </c>
      <c r="J10" s="374"/>
      <c r="K10" s="374"/>
      <c r="L10" s="374"/>
      <c r="M10" s="374"/>
      <c r="N10" s="374"/>
      <c r="O10" s="374"/>
      <c r="P10" s="374"/>
      <c r="Q10" s="374"/>
      <c r="R10" s="374"/>
      <c r="S10" s="374"/>
      <c r="T10" s="374"/>
      <c r="U10" s="374"/>
      <c r="V10" s="374"/>
    </row>
    <row r="11" spans="1:22" s="58" customFormat="1" ht="15" x14ac:dyDescent="0.25">
      <c r="A11" s="374"/>
      <c r="B11" s="374"/>
      <c r="C11" s="374"/>
      <c r="D11" s="374"/>
      <c r="E11" s="374"/>
      <c r="F11" s="374"/>
      <c r="G11" s="374"/>
      <c r="H11" s="374"/>
      <c r="I11" s="374"/>
      <c r="J11" s="374"/>
      <c r="K11" s="374"/>
      <c r="L11" s="374"/>
      <c r="M11" s="374"/>
      <c r="N11" s="374"/>
      <c r="O11" s="374"/>
      <c r="P11" s="374"/>
      <c r="Q11" s="374"/>
      <c r="R11" s="374"/>
      <c r="S11" s="374"/>
      <c r="T11" s="374"/>
      <c r="U11" s="374"/>
      <c r="V11" s="374"/>
    </row>
    <row r="12" spans="1:22" s="489" customFormat="1" ht="15" x14ac:dyDescent="0.25">
      <c r="A12" s="421"/>
      <c r="B12" s="331" t="s">
        <v>81</v>
      </c>
      <c r="C12" s="331"/>
      <c r="D12" s="331"/>
      <c r="E12" s="331"/>
      <c r="F12" s="335">
        <f>SUM(F5:F10)</f>
        <v>5908522.3300000001</v>
      </c>
      <c r="G12" s="335">
        <f t="shared" ref="G12:I12" si="1">SUM(G5:G10)</f>
        <v>9081973.1555555556</v>
      </c>
      <c r="H12" s="335">
        <f t="shared" si="1"/>
        <v>21531225.377777778</v>
      </c>
      <c r="I12" s="335">
        <f t="shared" si="1"/>
        <v>37859590.655555554</v>
      </c>
      <c r="J12" s="421"/>
      <c r="K12" s="421"/>
      <c r="L12" s="421"/>
      <c r="M12" s="421"/>
      <c r="N12" s="421"/>
      <c r="O12" s="421"/>
      <c r="P12" s="421"/>
      <c r="Q12" s="421"/>
      <c r="R12" s="421"/>
      <c r="S12" s="421"/>
      <c r="T12" s="421"/>
      <c r="U12" s="421"/>
      <c r="V12" s="421"/>
    </row>
    <row r="13" spans="1:22" s="58" customFormat="1" ht="15" x14ac:dyDescent="0.25">
      <c r="A13" s="374"/>
      <c r="B13" s="374"/>
      <c r="C13" s="374"/>
      <c r="D13" s="374"/>
      <c r="E13" s="374"/>
      <c r="F13" s="374"/>
      <c r="G13" s="374"/>
      <c r="H13" s="374"/>
      <c r="I13" s="374"/>
      <c r="J13" s="349"/>
      <c r="K13" s="349"/>
      <c r="L13" s="349"/>
      <c r="M13" s="349"/>
      <c r="N13" s="349"/>
      <c r="O13" s="349"/>
      <c r="P13" s="374"/>
      <c r="Q13" s="374"/>
      <c r="R13" s="374"/>
      <c r="S13" s="374"/>
      <c r="T13" s="374"/>
      <c r="U13" s="374"/>
      <c r="V13" s="374"/>
    </row>
    <row r="14" spans="1:22" s="10" customFormat="1" ht="15" x14ac:dyDescent="0.25">
      <c r="A14" s="374"/>
      <c r="B14" s="374"/>
      <c r="C14" s="374"/>
      <c r="D14" s="374"/>
      <c r="E14" s="374"/>
      <c r="F14" s="332"/>
      <c r="G14" s="351" t="s">
        <v>260</v>
      </c>
      <c r="H14" s="332" t="s">
        <v>66</v>
      </c>
      <c r="I14" s="372"/>
      <c r="K14" s="349"/>
      <c r="L14" s="349"/>
      <c r="M14" s="349"/>
      <c r="N14" s="349"/>
      <c r="O14" s="349"/>
      <c r="P14" s="374"/>
      <c r="Q14" s="374"/>
      <c r="R14" s="374"/>
      <c r="S14" s="374"/>
      <c r="T14" s="374"/>
      <c r="U14" s="374"/>
      <c r="V14" s="374"/>
    </row>
    <row r="15" spans="1:22" s="10" customFormat="1" ht="15" x14ac:dyDescent="0.25">
      <c r="A15" s="342" t="s">
        <v>73</v>
      </c>
      <c r="B15" s="342" t="s">
        <v>91</v>
      </c>
      <c r="C15" s="374"/>
      <c r="D15" s="374"/>
      <c r="F15" s="529">
        <v>1</v>
      </c>
      <c r="G15" s="529">
        <v>10</v>
      </c>
      <c r="H15" s="529">
        <v>50</v>
      </c>
      <c r="I15" s="529">
        <v>100</v>
      </c>
      <c r="K15" s="349"/>
      <c r="L15" s="349"/>
      <c r="M15" s="349"/>
      <c r="N15" s="349"/>
      <c r="O15" s="349"/>
      <c r="P15" s="374"/>
      <c r="Q15" s="374"/>
      <c r="R15" s="374"/>
      <c r="S15" s="374"/>
      <c r="T15" s="374"/>
      <c r="U15" s="374"/>
      <c r="V15" s="374"/>
    </row>
    <row r="16" spans="1:22" s="489" customFormat="1" ht="15" x14ac:dyDescent="0.25">
      <c r="A16" s="342"/>
      <c r="B16" s="342"/>
      <c r="C16" s="421"/>
      <c r="D16" s="421"/>
      <c r="F16" s="339"/>
      <c r="G16" s="351"/>
      <c r="H16" s="351"/>
      <c r="I16" s="351"/>
      <c r="K16" s="349"/>
      <c r="L16" s="349"/>
      <c r="M16" s="349"/>
      <c r="N16" s="349"/>
      <c r="O16" s="349"/>
      <c r="P16" s="421"/>
      <c r="Q16" s="421"/>
      <c r="R16" s="421"/>
      <c r="S16" s="421"/>
      <c r="T16" s="421"/>
      <c r="U16" s="421"/>
      <c r="V16" s="421"/>
    </row>
    <row r="17" spans="1:22" s="489" customFormat="1" ht="15" x14ac:dyDescent="0.25">
      <c r="A17" s="342"/>
      <c r="B17" s="421" t="s">
        <v>311</v>
      </c>
      <c r="C17" s="421"/>
      <c r="D17" s="421"/>
      <c r="F17" s="530">
        <v>29750</v>
      </c>
      <c r="G17" s="530">
        <f>F17*G15</f>
        <v>297500</v>
      </c>
      <c r="H17" s="530">
        <f>F17*H15</f>
        <v>1487500</v>
      </c>
      <c r="I17" s="530">
        <f>F17*I15</f>
        <v>2975000</v>
      </c>
      <c r="K17" s="349"/>
      <c r="L17" s="349"/>
      <c r="M17" s="349"/>
      <c r="N17" s="349"/>
      <c r="O17" s="349"/>
      <c r="P17" s="421"/>
      <c r="Q17" s="421"/>
      <c r="R17" s="421"/>
      <c r="S17" s="421"/>
      <c r="T17" s="421"/>
      <c r="U17" s="421"/>
      <c r="V17" s="421"/>
    </row>
    <row r="18" spans="1:22" s="489" customFormat="1" ht="15" x14ac:dyDescent="0.25">
      <c r="A18" s="342"/>
      <c r="B18" s="421" t="s">
        <v>310</v>
      </c>
      <c r="C18" s="421"/>
      <c r="D18" s="421"/>
      <c r="F18" s="339"/>
      <c r="G18" s="351"/>
      <c r="H18" s="351"/>
      <c r="I18" s="351"/>
      <c r="K18" s="349"/>
      <c r="L18" s="349"/>
      <c r="M18" s="349"/>
      <c r="N18" s="349"/>
      <c r="O18" s="349"/>
      <c r="P18" s="421"/>
      <c r="Q18" s="421"/>
      <c r="R18" s="421"/>
      <c r="S18" s="421"/>
      <c r="T18" s="421"/>
      <c r="U18" s="421"/>
      <c r="V18" s="421"/>
    </row>
    <row r="19" spans="1:22" s="70" customFormat="1" ht="15" x14ac:dyDescent="0.25">
      <c r="A19" s="374"/>
      <c r="B19" s="374"/>
      <c r="C19" s="421"/>
      <c r="D19" s="421"/>
      <c r="E19" s="421"/>
      <c r="F19" s="421"/>
      <c r="G19" s="421"/>
      <c r="H19" s="421"/>
      <c r="I19" s="421"/>
      <c r="K19" s="349"/>
      <c r="L19" s="349"/>
      <c r="M19" s="349"/>
      <c r="N19" s="349"/>
      <c r="O19" s="349"/>
      <c r="P19" s="374"/>
      <c r="Q19" s="374"/>
      <c r="R19" s="374"/>
      <c r="S19" s="374"/>
      <c r="T19" s="374"/>
      <c r="U19" s="374"/>
      <c r="V19" s="374"/>
    </row>
    <row r="20" spans="1:22" s="70" customFormat="1" ht="15" x14ac:dyDescent="0.25">
      <c r="A20" s="374"/>
      <c r="B20" s="331" t="s">
        <v>81</v>
      </c>
      <c r="C20" s="331"/>
      <c r="D20" s="331"/>
      <c r="E20" s="331"/>
      <c r="F20" s="335">
        <f>SUM(F17:F18)</f>
        <v>29750</v>
      </c>
      <c r="G20" s="335">
        <f t="shared" ref="G20:I20" si="2">SUM(G17:G18)</f>
        <v>297500</v>
      </c>
      <c r="H20" s="335">
        <f t="shared" si="2"/>
        <v>1487500</v>
      </c>
      <c r="I20" s="335">
        <f t="shared" si="2"/>
        <v>2975000</v>
      </c>
      <c r="K20" s="349"/>
      <c r="L20" s="349"/>
      <c r="M20" s="349"/>
      <c r="N20" s="349"/>
      <c r="O20" s="349"/>
      <c r="P20" s="374"/>
      <c r="Q20" s="374"/>
      <c r="R20" s="374"/>
      <c r="S20" s="374"/>
      <c r="T20" s="374"/>
      <c r="U20" s="374"/>
      <c r="V20" s="374"/>
    </row>
    <row r="21" spans="1:22" s="70" customFormat="1" ht="15" x14ac:dyDescent="0.25">
      <c r="A21" s="374"/>
      <c r="B21" s="374"/>
      <c r="C21" s="374"/>
      <c r="D21" s="374"/>
      <c r="E21" s="374"/>
      <c r="F21" s="332"/>
      <c r="G21" s="332"/>
      <c r="H21" s="332"/>
      <c r="I21" s="372"/>
      <c r="K21" s="337"/>
      <c r="L21" s="337"/>
      <c r="M21" s="337"/>
      <c r="N21" s="337"/>
      <c r="O21" s="349"/>
      <c r="P21" s="374"/>
      <c r="Q21" s="374"/>
      <c r="R21" s="374"/>
      <c r="S21" s="374"/>
      <c r="T21" s="374"/>
      <c r="U21" s="374"/>
      <c r="V21" s="374"/>
    </row>
    <row r="22" spans="1:22" s="10" customFormat="1" ht="15" x14ac:dyDescent="0.25">
      <c r="A22" s="374"/>
      <c r="B22" s="374"/>
      <c r="C22" s="374"/>
      <c r="D22" s="374"/>
      <c r="E22" s="434"/>
      <c r="F22" s="489"/>
      <c r="G22" s="95" t="s">
        <v>260</v>
      </c>
      <c r="H22" s="400" t="s">
        <v>66</v>
      </c>
      <c r="I22" s="400"/>
      <c r="K22" s="434"/>
      <c r="L22" s="434"/>
      <c r="M22" s="434"/>
      <c r="N22" s="434"/>
      <c r="O22" s="434"/>
      <c r="P22" s="434"/>
      <c r="Q22" s="434"/>
      <c r="R22" s="434"/>
      <c r="S22" s="434"/>
      <c r="T22" s="434"/>
      <c r="U22" s="434"/>
      <c r="V22" s="434"/>
    </row>
    <row r="23" spans="1:22" s="10" customFormat="1" ht="15" x14ac:dyDescent="0.25">
      <c r="A23" s="436" t="s">
        <v>74</v>
      </c>
      <c r="B23" s="342" t="s">
        <v>235</v>
      </c>
      <c r="C23" s="374"/>
      <c r="D23" s="374"/>
      <c r="E23" s="434"/>
      <c r="F23" s="529">
        <v>1</v>
      </c>
      <c r="G23" s="529">
        <v>10</v>
      </c>
      <c r="H23" s="529">
        <v>50</v>
      </c>
      <c r="I23" s="529">
        <v>100</v>
      </c>
      <c r="K23" s="433"/>
      <c r="L23" s="433"/>
      <c r="M23" s="433"/>
      <c r="N23" s="433"/>
      <c r="O23" s="433"/>
      <c r="P23" s="433"/>
      <c r="Q23" s="426"/>
      <c r="R23" s="426"/>
      <c r="S23" s="433"/>
      <c r="T23" s="433"/>
      <c r="U23" s="433"/>
      <c r="V23" s="434"/>
    </row>
    <row r="24" spans="1:22" s="489" customFormat="1" ht="15" x14ac:dyDescent="0.25">
      <c r="A24" s="436"/>
      <c r="B24" s="342"/>
      <c r="C24" s="421"/>
      <c r="D24" s="421"/>
      <c r="E24" s="434"/>
      <c r="F24" s="434"/>
      <c r="G24" s="339"/>
      <c r="H24" s="351"/>
      <c r="I24" s="351"/>
      <c r="J24" s="351"/>
      <c r="K24" s="433"/>
      <c r="L24" s="433"/>
      <c r="M24" s="433"/>
      <c r="N24" s="433"/>
      <c r="O24" s="433"/>
      <c r="P24" s="433"/>
      <c r="Q24" s="426"/>
      <c r="R24" s="426"/>
      <c r="S24" s="433"/>
      <c r="T24" s="433"/>
      <c r="U24" s="433"/>
      <c r="V24" s="434"/>
    </row>
    <row r="25" spans="1:22" s="489" customFormat="1" ht="15" x14ac:dyDescent="0.25">
      <c r="B25" s="489" t="s">
        <v>312</v>
      </c>
      <c r="G25" s="400"/>
      <c r="H25" s="400"/>
      <c r="I25" s="400"/>
      <c r="J25" s="351"/>
      <c r="K25" s="433"/>
      <c r="L25" s="433"/>
      <c r="M25" s="433"/>
      <c r="N25" s="433"/>
      <c r="O25" s="433"/>
      <c r="P25" s="433"/>
      <c r="Q25" s="426"/>
      <c r="R25" s="426"/>
      <c r="S25" s="433"/>
      <c r="T25" s="433"/>
      <c r="U25" s="433"/>
      <c r="V25" s="434"/>
    </row>
    <row r="26" spans="1:22" s="489" customFormat="1" ht="15" x14ac:dyDescent="0.25">
      <c r="B26" s="489" t="s">
        <v>313</v>
      </c>
      <c r="G26" s="400"/>
      <c r="H26" s="400"/>
      <c r="I26" s="400"/>
      <c r="J26" s="351"/>
      <c r="K26" s="433"/>
      <c r="L26" s="433"/>
      <c r="M26" s="433"/>
      <c r="N26" s="433"/>
      <c r="O26" s="433"/>
      <c r="P26" s="433"/>
      <c r="Q26" s="426"/>
      <c r="R26" s="426"/>
      <c r="S26" s="433"/>
      <c r="T26" s="433"/>
      <c r="U26" s="433"/>
      <c r="V26" s="434"/>
    </row>
    <row r="27" spans="1:22" s="489" customFormat="1" ht="15" x14ac:dyDescent="0.25">
      <c r="B27" s="489" t="s">
        <v>314</v>
      </c>
      <c r="G27" s="400"/>
      <c r="H27" s="400"/>
      <c r="I27" s="400"/>
      <c r="J27" s="351"/>
      <c r="K27" s="433"/>
      <c r="L27" s="433"/>
      <c r="M27" s="433"/>
      <c r="N27" s="433"/>
      <c r="O27" s="433"/>
      <c r="P27" s="433"/>
      <c r="Q27" s="426"/>
      <c r="R27" s="426"/>
      <c r="S27" s="433"/>
      <c r="T27" s="433"/>
      <c r="U27" s="433"/>
      <c r="V27" s="434"/>
    </row>
    <row r="28" spans="1:22" s="489" customFormat="1" ht="15" x14ac:dyDescent="0.25">
      <c r="B28" s="531" t="s">
        <v>315</v>
      </c>
      <c r="G28" s="400"/>
      <c r="H28" s="400"/>
      <c r="I28" s="400"/>
      <c r="J28" s="351"/>
      <c r="K28" s="433"/>
      <c r="L28" s="433"/>
      <c r="M28" s="433"/>
      <c r="N28" s="433"/>
      <c r="O28" s="433"/>
      <c r="P28" s="433"/>
      <c r="Q28" s="426"/>
      <c r="R28" s="426"/>
      <c r="S28" s="433"/>
      <c r="T28" s="433"/>
      <c r="U28" s="433"/>
      <c r="V28" s="434"/>
    </row>
    <row r="29" spans="1:22" s="489" customFormat="1" ht="15" x14ac:dyDescent="0.25">
      <c r="B29" s="531" t="s">
        <v>316</v>
      </c>
      <c r="G29" s="400"/>
      <c r="H29" s="400"/>
      <c r="I29" s="400"/>
      <c r="J29" s="351"/>
      <c r="K29" s="433"/>
      <c r="L29" s="433"/>
      <c r="M29" s="433"/>
      <c r="N29" s="433"/>
      <c r="O29" s="433"/>
      <c r="P29" s="433"/>
      <c r="Q29" s="426"/>
      <c r="R29" s="426"/>
      <c r="S29" s="433"/>
      <c r="T29" s="433"/>
      <c r="U29" s="433"/>
      <c r="V29" s="434"/>
    </row>
    <row r="30" spans="1:22" s="489" customFormat="1" ht="15" x14ac:dyDescent="0.25">
      <c r="B30" s="531" t="s">
        <v>321</v>
      </c>
      <c r="G30" s="400"/>
      <c r="H30" s="400"/>
      <c r="I30" s="400"/>
      <c r="J30" s="351"/>
      <c r="K30" s="433"/>
      <c r="L30" s="433"/>
      <c r="M30" s="433"/>
      <c r="N30" s="433"/>
      <c r="O30" s="433"/>
      <c r="P30" s="433"/>
      <c r="Q30" s="426"/>
      <c r="R30" s="426"/>
      <c r="S30" s="433"/>
      <c r="T30" s="433"/>
      <c r="U30" s="433"/>
      <c r="V30" s="434"/>
    </row>
    <row r="31" spans="1:22" s="489" customFormat="1" ht="15" x14ac:dyDescent="0.25">
      <c r="B31" s="531" t="s">
        <v>319</v>
      </c>
      <c r="G31" s="400"/>
      <c r="H31" s="400"/>
      <c r="I31" s="400"/>
      <c r="J31" s="351"/>
      <c r="K31" s="433"/>
      <c r="L31" s="433"/>
      <c r="M31" s="433"/>
      <c r="N31" s="433"/>
      <c r="O31" s="433"/>
      <c r="P31" s="433"/>
      <c r="Q31" s="426"/>
      <c r="R31" s="426"/>
      <c r="S31" s="433"/>
      <c r="T31" s="433"/>
      <c r="U31" s="433"/>
      <c r="V31" s="434"/>
    </row>
    <row r="32" spans="1:22" s="489" customFormat="1" ht="15" x14ac:dyDescent="0.25">
      <c r="B32" s="531" t="s">
        <v>317</v>
      </c>
      <c r="G32" s="400"/>
      <c r="H32" s="400"/>
      <c r="I32" s="400"/>
      <c r="J32" s="533"/>
      <c r="K32" s="433"/>
      <c r="L32" s="433"/>
      <c r="M32" s="433"/>
      <c r="N32" s="433"/>
      <c r="O32" s="433"/>
      <c r="P32" s="433"/>
      <c r="Q32" s="426"/>
      <c r="R32" s="426"/>
      <c r="S32" s="433"/>
      <c r="T32" s="433"/>
      <c r="U32" s="433"/>
      <c r="V32" s="434"/>
    </row>
    <row r="33" spans="1:22" s="437" customFormat="1" ht="15" x14ac:dyDescent="0.25">
      <c r="A33" s="489"/>
      <c r="B33" s="531"/>
      <c r="C33" s="489"/>
      <c r="D33" s="489"/>
      <c r="E33" s="489"/>
      <c r="F33" s="419"/>
      <c r="G33" s="95"/>
      <c r="H33" s="95"/>
      <c r="I33" s="95"/>
      <c r="J33" s="349"/>
      <c r="K33" s="433"/>
      <c r="L33" s="433"/>
      <c r="M33" s="433"/>
      <c r="N33" s="433"/>
      <c r="O33" s="433"/>
      <c r="P33" s="433"/>
      <c r="Q33" s="426"/>
      <c r="R33" s="426"/>
      <c r="S33" s="433"/>
      <c r="T33" s="433"/>
      <c r="U33" s="433"/>
      <c r="V33" s="434"/>
    </row>
    <row r="34" spans="1:22" s="10" customFormat="1" ht="15" x14ac:dyDescent="0.25">
      <c r="A34" s="489"/>
      <c r="B34" s="298" t="s">
        <v>318</v>
      </c>
      <c r="C34" s="298"/>
      <c r="D34" s="298"/>
      <c r="E34" s="298"/>
      <c r="F34" s="532">
        <v>667000</v>
      </c>
      <c r="G34" s="532">
        <v>767200</v>
      </c>
      <c r="H34" s="532">
        <f>G34</f>
        <v>767200</v>
      </c>
      <c r="I34" s="532">
        <v>1534000</v>
      </c>
      <c r="J34" s="347"/>
      <c r="K34" s="433"/>
      <c r="L34" s="433"/>
      <c r="M34" s="433"/>
      <c r="N34" s="433"/>
      <c r="O34" s="433"/>
      <c r="P34" s="433"/>
      <c r="Q34" s="426"/>
      <c r="R34" s="432"/>
      <c r="S34" s="431"/>
      <c r="T34" s="433"/>
      <c r="U34" s="433"/>
      <c r="V34" s="434"/>
    </row>
    <row r="35" spans="1:22" ht="15" x14ac:dyDescent="0.25">
      <c r="A35" s="374"/>
      <c r="B35" s="349"/>
      <c r="C35" s="349"/>
      <c r="D35" s="349"/>
      <c r="E35" s="349"/>
      <c r="F35" s="349"/>
      <c r="G35" s="349"/>
      <c r="H35" s="349"/>
      <c r="I35" s="349"/>
      <c r="J35" s="349"/>
      <c r="K35" s="371"/>
      <c r="L35" s="349"/>
      <c r="M35" s="349"/>
      <c r="N35" s="349"/>
      <c r="O35" s="349"/>
      <c r="P35" s="349"/>
      <c r="Q35" s="349"/>
      <c r="R35" s="349"/>
      <c r="S35" s="349"/>
      <c r="T35" s="349"/>
      <c r="U35" s="349"/>
      <c r="V35" s="374"/>
    </row>
    <row r="36" spans="1:22" s="328" customFormat="1" ht="15" x14ac:dyDescent="0.25">
      <c r="A36" s="374"/>
      <c r="B36" s="349"/>
      <c r="C36" s="349"/>
      <c r="D36" s="349"/>
      <c r="E36" s="349"/>
      <c r="F36" s="489"/>
      <c r="G36" s="95" t="s">
        <v>260</v>
      </c>
      <c r="H36" s="400" t="s">
        <v>66</v>
      </c>
      <c r="I36" s="400"/>
      <c r="J36" s="349"/>
      <c r="K36" s="371"/>
      <c r="L36" s="349"/>
      <c r="M36" s="349"/>
      <c r="N36" s="349"/>
      <c r="O36" s="349"/>
      <c r="P36" s="349"/>
      <c r="Q36" s="349"/>
      <c r="R36" s="349"/>
      <c r="S36" s="349"/>
      <c r="T36" s="349"/>
      <c r="U36" s="349"/>
      <c r="V36" s="374"/>
    </row>
    <row r="37" spans="1:22" s="327" customFormat="1" ht="15" x14ac:dyDescent="0.25">
      <c r="A37" s="436" t="s">
        <v>75</v>
      </c>
      <c r="B37" s="342" t="s">
        <v>234</v>
      </c>
      <c r="C37" s="374"/>
      <c r="D37" s="374"/>
      <c r="E37" s="350"/>
      <c r="F37" s="529">
        <v>1</v>
      </c>
      <c r="G37" s="529">
        <v>10</v>
      </c>
      <c r="H37" s="529">
        <v>50</v>
      </c>
      <c r="I37" s="529">
        <v>100</v>
      </c>
      <c r="K37" s="433"/>
      <c r="L37" s="350"/>
      <c r="M37" s="374"/>
      <c r="N37" s="374"/>
      <c r="O37" s="374"/>
      <c r="P37" s="374"/>
      <c r="Q37" s="374"/>
      <c r="R37" s="374"/>
      <c r="S37" s="374"/>
      <c r="T37" s="374"/>
      <c r="U37" s="374"/>
      <c r="V37" s="374"/>
    </row>
    <row r="38" spans="1:22" s="489" customFormat="1" ht="15" x14ac:dyDescent="0.25">
      <c r="A38" s="436"/>
      <c r="B38" s="342"/>
      <c r="C38" s="421"/>
      <c r="D38" s="421"/>
      <c r="E38" s="350"/>
      <c r="F38" s="339"/>
      <c r="G38" s="351"/>
      <c r="H38" s="351"/>
      <c r="I38" s="351"/>
      <c r="K38" s="433"/>
      <c r="L38" s="350"/>
      <c r="M38" s="421"/>
      <c r="N38" s="421"/>
      <c r="O38" s="421"/>
      <c r="P38" s="421"/>
      <c r="Q38" s="421"/>
      <c r="R38" s="421"/>
      <c r="S38" s="421"/>
      <c r="T38" s="421"/>
      <c r="U38" s="421"/>
      <c r="V38" s="421"/>
    </row>
    <row r="39" spans="1:22" s="489" customFormat="1" ht="15" x14ac:dyDescent="0.25">
      <c r="A39" s="436"/>
      <c r="B39" s="421" t="s">
        <v>312</v>
      </c>
      <c r="C39" s="421"/>
      <c r="D39" s="421"/>
      <c r="E39" s="350"/>
      <c r="F39" s="339"/>
      <c r="G39" s="351"/>
      <c r="H39" s="351"/>
      <c r="I39" s="351"/>
      <c r="K39" s="433"/>
      <c r="L39" s="350"/>
      <c r="M39" s="421"/>
      <c r="N39" s="421"/>
      <c r="O39" s="421"/>
      <c r="P39" s="421"/>
      <c r="Q39" s="421"/>
      <c r="R39" s="421"/>
      <c r="S39" s="421"/>
      <c r="T39" s="421"/>
      <c r="U39" s="421"/>
      <c r="V39" s="421"/>
    </row>
    <row r="40" spans="1:22" s="489" customFormat="1" ht="15" x14ac:dyDescent="0.25">
      <c r="A40" s="436"/>
      <c r="B40" s="421" t="s">
        <v>322</v>
      </c>
      <c r="C40" s="421"/>
      <c r="D40" s="421"/>
      <c r="E40" s="350"/>
      <c r="F40" s="339"/>
      <c r="G40" s="351"/>
      <c r="H40" s="351"/>
      <c r="I40" s="351"/>
      <c r="K40" s="433"/>
      <c r="L40" s="350"/>
      <c r="M40" s="421"/>
      <c r="N40" s="421"/>
      <c r="O40" s="421"/>
      <c r="P40" s="421"/>
      <c r="Q40" s="421"/>
      <c r="R40" s="421"/>
      <c r="S40" s="421"/>
      <c r="T40" s="421"/>
      <c r="U40" s="421"/>
      <c r="V40" s="421"/>
    </row>
    <row r="41" spans="1:22" s="489" customFormat="1" ht="15" x14ac:dyDescent="0.25">
      <c r="A41" s="436"/>
      <c r="B41" s="342" t="s">
        <v>320</v>
      </c>
      <c r="C41" s="421"/>
      <c r="D41" s="421"/>
      <c r="E41" s="350"/>
      <c r="F41" s="339"/>
      <c r="G41" s="351"/>
      <c r="H41" s="351"/>
      <c r="I41" s="351"/>
      <c r="K41" s="433"/>
      <c r="L41" s="350"/>
      <c r="M41" s="421"/>
      <c r="N41" s="421"/>
      <c r="O41" s="421"/>
      <c r="P41" s="421"/>
      <c r="Q41" s="421"/>
      <c r="R41" s="421"/>
      <c r="S41" s="421"/>
      <c r="T41" s="421"/>
      <c r="U41" s="421"/>
      <c r="V41" s="421"/>
    </row>
    <row r="42" spans="1:22" s="489" customFormat="1" ht="15" x14ac:dyDescent="0.25">
      <c r="A42" s="436"/>
      <c r="B42" s="421" t="s">
        <v>323</v>
      </c>
      <c r="C42" s="421"/>
      <c r="D42" s="421"/>
      <c r="E42" s="350"/>
      <c r="F42" s="339"/>
      <c r="G42" s="351"/>
      <c r="H42" s="351"/>
      <c r="I42" s="351"/>
      <c r="K42" s="433"/>
      <c r="L42" s="350"/>
      <c r="M42" s="421"/>
      <c r="N42" s="421"/>
      <c r="O42" s="421"/>
      <c r="P42" s="421"/>
      <c r="Q42" s="421"/>
      <c r="R42" s="421"/>
      <c r="S42" s="421"/>
      <c r="T42" s="421"/>
      <c r="U42" s="421"/>
      <c r="V42" s="421"/>
    </row>
    <row r="43" spans="1:22" s="489" customFormat="1" ht="15" x14ac:dyDescent="0.25">
      <c r="A43" s="436"/>
      <c r="B43" s="342"/>
      <c r="C43" s="421"/>
      <c r="D43" s="421"/>
      <c r="E43" s="350"/>
      <c r="F43" s="535" t="s">
        <v>98</v>
      </c>
      <c r="G43" s="536"/>
      <c r="H43" s="536"/>
      <c r="I43" s="536" t="s">
        <v>88</v>
      </c>
      <c r="J43" s="517"/>
      <c r="K43" s="426"/>
      <c r="L43" s="537" t="s">
        <v>89</v>
      </c>
      <c r="M43" s="535"/>
      <c r="N43" s="535" t="s">
        <v>90</v>
      </c>
      <c r="O43" s="421"/>
      <c r="P43" s="421"/>
      <c r="Q43" s="421"/>
      <c r="R43" s="421"/>
      <c r="S43" s="421"/>
      <c r="T43" s="421"/>
      <c r="U43" s="421"/>
      <c r="V43" s="421"/>
    </row>
    <row r="44" spans="1:22" s="489" customFormat="1" ht="15" x14ac:dyDescent="0.25">
      <c r="A44" s="436"/>
      <c r="B44" s="342"/>
      <c r="C44" s="421"/>
      <c r="D44" s="421"/>
      <c r="E44" s="534" t="s">
        <v>330</v>
      </c>
      <c r="F44" s="419" t="s">
        <v>329</v>
      </c>
      <c r="G44" s="339" t="s">
        <v>79</v>
      </c>
      <c r="H44" s="534" t="s">
        <v>330</v>
      </c>
      <c r="I44" s="419" t="s">
        <v>329</v>
      </c>
      <c r="J44" s="339" t="s">
        <v>79</v>
      </c>
      <c r="K44" s="534" t="s">
        <v>330</v>
      </c>
      <c r="L44" s="419" t="s">
        <v>329</v>
      </c>
      <c r="M44" s="339" t="s">
        <v>79</v>
      </c>
      <c r="N44" s="534" t="s">
        <v>330</v>
      </c>
      <c r="O44" s="419" t="s">
        <v>329</v>
      </c>
      <c r="P44" s="339" t="s">
        <v>79</v>
      </c>
      <c r="Q44" s="421"/>
      <c r="R44" s="421"/>
      <c r="S44" s="421"/>
      <c r="T44" s="421"/>
      <c r="U44" s="421"/>
      <c r="V44" s="421"/>
    </row>
    <row r="45" spans="1:22" s="489" customFormat="1" ht="15" x14ac:dyDescent="0.25">
      <c r="A45" s="436"/>
      <c r="B45" s="421">
        <v>1</v>
      </c>
      <c r="C45" s="421" t="s">
        <v>350</v>
      </c>
      <c r="D45" s="421"/>
      <c r="E45" s="350">
        <v>45.83</v>
      </c>
      <c r="F45" s="413">
        <f>G45/E45</f>
        <v>58754.265764782896</v>
      </c>
      <c r="G45" s="530">
        <v>2692708</v>
      </c>
      <c r="H45" s="350">
        <v>45.83</v>
      </c>
      <c r="I45" s="413">
        <f>J45/H45</f>
        <v>58754.265764782896</v>
      </c>
      <c r="J45" s="530">
        <v>2692708</v>
      </c>
      <c r="K45" s="350">
        <v>45.83</v>
      </c>
      <c r="L45" s="413">
        <f>M45/K45</f>
        <v>58754.265764782896</v>
      </c>
      <c r="M45" s="530">
        <v>2692708</v>
      </c>
      <c r="N45" s="350">
        <v>45.83</v>
      </c>
      <c r="O45" s="413">
        <f>P45/N45</f>
        <v>58754.265764782896</v>
      </c>
      <c r="P45" s="530">
        <v>2692708</v>
      </c>
      <c r="Q45" s="421"/>
      <c r="R45" s="421"/>
      <c r="S45" s="421"/>
      <c r="T45" s="421"/>
      <c r="U45" s="421"/>
      <c r="V45" s="421"/>
    </row>
    <row r="46" spans="1:22" s="489" customFormat="1" ht="15" x14ac:dyDescent="0.25">
      <c r="A46" s="436"/>
      <c r="B46" s="421">
        <v>2</v>
      </c>
      <c r="C46" s="421" t="s">
        <v>324</v>
      </c>
      <c r="D46" s="421"/>
      <c r="E46" s="350">
        <v>4</v>
      </c>
      <c r="G46" s="530">
        <v>422000</v>
      </c>
      <c r="H46" s="350">
        <v>4</v>
      </c>
      <c r="J46" s="530">
        <v>422000</v>
      </c>
      <c r="K46" s="350">
        <v>4</v>
      </c>
      <c r="M46" s="530">
        <v>422000</v>
      </c>
      <c r="N46" s="350">
        <v>4</v>
      </c>
      <c r="P46" s="530">
        <v>422000</v>
      </c>
      <c r="Q46" s="421"/>
      <c r="R46" s="421"/>
      <c r="S46" s="421"/>
      <c r="T46" s="421"/>
      <c r="U46" s="421"/>
      <c r="V46" s="421"/>
    </row>
    <row r="47" spans="1:22" s="489" customFormat="1" ht="15" x14ac:dyDescent="0.25">
      <c r="A47" s="436"/>
      <c r="B47" s="421">
        <v>3</v>
      </c>
      <c r="C47" s="421" t="s">
        <v>325</v>
      </c>
      <c r="D47" s="421"/>
      <c r="E47" s="350"/>
      <c r="G47" s="530">
        <v>7350</v>
      </c>
      <c r="H47" s="351"/>
      <c r="I47" s="351"/>
      <c r="J47" s="413">
        <v>73500</v>
      </c>
      <c r="K47" s="350"/>
      <c r="M47" s="530">
        <f>J47*5</f>
        <v>367500</v>
      </c>
      <c r="N47" s="350"/>
      <c r="P47" s="530">
        <f>M47*2</f>
        <v>735000</v>
      </c>
      <c r="Q47" s="421"/>
      <c r="R47" s="421"/>
      <c r="S47" s="421"/>
      <c r="T47" s="421"/>
      <c r="U47" s="421"/>
      <c r="V47" s="421"/>
    </row>
    <row r="48" spans="1:22" s="489" customFormat="1" ht="15" x14ac:dyDescent="0.25">
      <c r="A48" s="436"/>
      <c r="B48" s="421">
        <v>4</v>
      </c>
      <c r="C48" s="421" t="s">
        <v>326</v>
      </c>
      <c r="D48" s="421"/>
      <c r="E48" s="350">
        <v>0.37</v>
      </c>
      <c r="F48" s="413">
        <v>70485</v>
      </c>
      <c r="G48" s="530">
        <f>E48*F48</f>
        <v>26079.45</v>
      </c>
      <c r="H48" s="538">
        <v>3.666666666666667</v>
      </c>
      <c r="I48" s="413">
        <v>70485</v>
      </c>
      <c r="J48" s="413">
        <f>H48*I48</f>
        <v>258445.00000000003</v>
      </c>
      <c r="K48" s="540">
        <f>H48*5</f>
        <v>18.333333333333336</v>
      </c>
      <c r="L48" s="413">
        <v>70485</v>
      </c>
      <c r="M48" s="539">
        <f>K48*L48</f>
        <v>1292225.0000000002</v>
      </c>
      <c r="N48" s="541">
        <f>K48*2</f>
        <v>36.666666666666671</v>
      </c>
      <c r="O48" s="539">
        <v>70485</v>
      </c>
      <c r="P48" s="539">
        <f>N48*O48</f>
        <v>2584450.0000000005</v>
      </c>
      <c r="Q48" s="421"/>
      <c r="R48" s="421"/>
      <c r="S48" s="421"/>
      <c r="T48" s="421"/>
      <c r="U48" s="421"/>
      <c r="V48" s="421"/>
    </row>
    <row r="49" spans="1:22" s="489" customFormat="1" ht="15" x14ac:dyDescent="0.25">
      <c r="A49" s="436"/>
      <c r="B49" s="421">
        <v>5</v>
      </c>
      <c r="C49" s="421" t="s">
        <v>327</v>
      </c>
      <c r="D49" s="421"/>
      <c r="E49" s="350">
        <v>0.24</v>
      </c>
      <c r="F49" s="413">
        <v>76610</v>
      </c>
      <c r="G49" s="530">
        <f t="shared" ref="G49:G50" si="3">E49*F49</f>
        <v>18386.399999999998</v>
      </c>
      <c r="H49" s="538">
        <v>2.4444444444444446</v>
      </c>
      <c r="I49" s="413">
        <v>76610</v>
      </c>
      <c r="J49" s="413">
        <f t="shared" ref="J49:J50" si="4">H49*I49</f>
        <v>187268.88888888891</v>
      </c>
      <c r="K49" s="540">
        <f t="shared" ref="K49:K50" si="5">H49*5</f>
        <v>12.222222222222223</v>
      </c>
      <c r="L49" s="413">
        <v>76610</v>
      </c>
      <c r="M49" s="539">
        <f t="shared" ref="M49:M50" si="6">K49*L49</f>
        <v>936344.4444444445</v>
      </c>
      <c r="N49" s="541">
        <f t="shared" ref="N49:N50" si="7">K49*2</f>
        <v>24.444444444444446</v>
      </c>
      <c r="O49" s="539">
        <v>76610</v>
      </c>
      <c r="P49" s="539">
        <f t="shared" ref="P49:P50" si="8">N49*O49</f>
        <v>1872688.888888889</v>
      </c>
      <c r="Q49" s="421"/>
      <c r="R49" s="421"/>
      <c r="S49" s="421"/>
      <c r="T49" s="421"/>
      <c r="U49" s="421"/>
      <c r="V49" s="421"/>
    </row>
    <row r="50" spans="1:22" s="489" customFormat="1" ht="15" x14ac:dyDescent="0.25">
      <c r="A50" s="436"/>
      <c r="B50" s="421">
        <v>6</v>
      </c>
      <c r="C50" s="421" t="s">
        <v>328</v>
      </c>
      <c r="D50" s="421"/>
      <c r="E50" s="350">
        <v>0.37</v>
      </c>
      <c r="F50" s="413">
        <v>73810</v>
      </c>
      <c r="G50" s="530">
        <f t="shared" si="3"/>
        <v>27309.7</v>
      </c>
      <c r="H50" s="538">
        <v>3.666666666666667</v>
      </c>
      <c r="I50" s="413">
        <v>73810</v>
      </c>
      <c r="J50" s="413">
        <f t="shared" si="4"/>
        <v>270636.66666666669</v>
      </c>
      <c r="K50" s="540">
        <f t="shared" si="5"/>
        <v>18.333333333333336</v>
      </c>
      <c r="L50" s="413">
        <v>73810</v>
      </c>
      <c r="M50" s="539">
        <f t="shared" si="6"/>
        <v>1353183.3333333335</v>
      </c>
      <c r="N50" s="541">
        <f t="shared" si="7"/>
        <v>36.666666666666671</v>
      </c>
      <c r="O50" s="539">
        <v>73810</v>
      </c>
      <c r="P50" s="539">
        <f t="shared" si="8"/>
        <v>2706366.666666667</v>
      </c>
      <c r="Q50" s="421"/>
      <c r="R50" s="421"/>
      <c r="S50" s="421"/>
      <c r="T50" s="421"/>
      <c r="U50" s="421"/>
      <c r="V50" s="421"/>
    </row>
    <row r="51" spans="1:22" s="489" customFormat="1" ht="15" x14ac:dyDescent="0.25">
      <c r="A51" s="436"/>
      <c r="B51" s="342"/>
      <c r="C51" s="421"/>
      <c r="D51" s="421"/>
      <c r="E51" s="350"/>
      <c r="F51" s="339"/>
      <c r="G51" s="351"/>
      <c r="H51" s="351"/>
      <c r="I51" s="351"/>
      <c r="K51" s="433"/>
      <c r="L51" s="350"/>
      <c r="M51" s="421"/>
      <c r="N51" s="421"/>
      <c r="O51" s="421"/>
      <c r="P51" s="421"/>
      <c r="Q51" s="421"/>
      <c r="R51" s="421"/>
      <c r="S51" s="421"/>
      <c r="T51" s="421"/>
      <c r="U51" s="421"/>
      <c r="V51" s="421"/>
    </row>
    <row r="52" spans="1:22" s="489" customFormat="1" ht="15" x14ac:dyDescent="0.25">
      <c r="A52" s="436"/>
      <c r="B52" s="331" t="s">
        <v>81</v>
      </c>
      <c r="C52" s="331"/>
      <c r="D52" s="331"/>
      <c r="E52" s="542">
        <f>SUM(E45:E50)</f>
        <v>50.809999999999995</v>
      </c>
      <c r="F52" s="542"/>
      <c r="G52" s="543">
        <f t="shared" ref="G52:P52" si="9">SUM(G45:G50)</f>
        <v>3193833.5500000003</v>
      </c>
      <c r="H52" s="543">
        <f t="shared" si="9"/>
        <v>59.60777777777777</v>
      </c>
      <c r="I52" s="543"/>
      <c r="J52" s="543">
        <f t="shared" si="9"/>
        <v>3904558.5555555555</v>
      </c>
      <c r="K52" s="544">
        <f t="shared" si="9"/>
        <v>98.718888888888898</v>
      </c>
      <c r="L52" s="543"/>
      <c r="M52" s="543">
        <f t="shared" si="9"/>
        <v>7063960.777777778</v>
      </c>
      <c r="N52" s="544">
        <f t="shared" si="9"/>
        <v>147.60777777777778</v>
      </c>
      <c r="O52" s="543"/>
      <c r="P52" s="543">
        <f t="shared" si="9"/>
        <v>11013213.555555556</v>
      </c>
      <c r="Q52" s="421"/>
      <c r="R52" s="421"/>
      <c r="S52" s="421"/>
      <c r="T52" s="421"/>
      <c r="U52" s="421"/>
      <c r="V52" s="421"/>
    </row>
    <row r="53" spans="1:22" s="489" customFormat="1" ht="15" x14ac:dyDescent="0.25">
      <c r="A53" s="436"/>
      <c r="B53" s="342"/>
      <c r="C53" s="421"/>
      <c r="D53" s="421"/>
      <c r="E53" s="350"/>
      <c r="F53" s="339"/>
      <c r="G53" s="351"/>
      <c r="H53" s="351"/>
      <c r="I53" s="351"/>
      <c r="K53" s="433"/>
      <c r="L53" s="350"/>
      <c r="M53" s="421"/>
      <c r="N53" s="421"/>
      <c r="O53" s="421"/>
      <c r="P53" s="421"/>
      <c r="Q53" s="421"/>
      <c r="R53" s="421"/>
      <c r="S53" s="421"/>
      <c r="T53" s="421"/>
      <c r="U53" s="421"/>
      <c r="V53" s="421"/>
    </row>
    <row r="54" spans="1:22" ht="15" x14ac:dyDescent="0.25">
      <c r="A54" s="374"/>
      <c r="B54" s="374"/>
      <c r="C54" s="349"/>
      <c r="D54" s="349"/>
      <c r="E54" s="434"/>
      <c r="F54" s="434"/>
      <c r="G54" s="434"/>
      <c r="H54" s="434"/>
      <c r="I54" s="434"/>
      <c r="J54" s="434"/>
      <c r="K54" s="434"/>
      <c r="L54" s="423"/>
      <c r="M54" s="347"/>
      <c r="N54" s="347"/>
      <c r="O54" s="347"/>
      <c r="P54" s="347"/>
      <c r="Q54" s="347"/>
      <c r="R54" s="347"/>
      <c r="S54" s="347"/>
      <c r="T54" s="347"/>
      <c r="U54" s="347"/>
      <c r="V54" s="374"/>
    </row>
    <row r="55" spans="1:22" s="10" customFormat="1" ht="15" x14ac:dyDescent="0.25">
      <c r="A55" s="374"/>
      <c r="B55" s="374"/>
      <c r="C55" s="374"/>
      <c r="D55" s="374"/>
      <c r="E55" s="350"/>
      <c r="J55" s="350"/>
      <c r="K55" s="350"/>
      <c r="L55" s="330"/>
      <c r="M55" s="374"/>
      <c r="N55" s="374"/>
      <c r="O55" s="374"/>
      <c r="P55" s="374"/>
      <c r="Q55" s="374"/>
      <c r="R55" s="374"/>
      <c r="S55" s="374"/>
      <c r="T55" s="374"/>
      <c r="U55" s="374"/>
      <c r="V55" s="374"/>
    </row>
    <row r="56" spans="1:22" ht="15" x14ac:dyDescent="0.25">
      <c r="A56" s="436" t="s">
        <v>76</v>
      </c>
      <c r="B56" s="342" t="s">
        <v>233</v>
      </c>
      <c r="C56" s="374"/>
      <c r="D56" s="374"/>
      <c r="E56" s="350"/>
      <c r="K56" s="350"/>
      <c r="L56" s="350"/>
      <c r="M56" s="374"/>
      <c r="N56" s="374"/>
      <c r="O56" s="374"/>
      <c r="P56" s="374"/>
      <c r="Q56" s="374"/>
      <c r="R56" s="374"/>
      <c r="S56" s="374"/>
      <c r="T56" s="374"/>
      <c r="U56" s="332"/>
      <c r="V56" s="374"/>
    </row>
    <row r="57" spans="1:22" s="489" customFormat="1" ht="15" x14ac:dyDescent="0.25">
      <c r="A57" s="436"/>
      <c r="B57" s="342"/>
      <c r="C57" s="421"/>
      <c r="D57" s="421"/>
      <c r="E57" s="350"/>
      <c r="F57" s="339"/>
      <c r="G57" s="351"/>
      <c r="H57" s="351"/>
      <c r="I57" s="351"/>
      <c r="K57" s="350"/>
      <c r="L57" s="350"/>
      <c r="M57" s="421"/>
      <c r="N57" s="421"/>
      <c r="O57" s="421"/>
      <c r="P57" s="421"/>
      <c r="Q57" s="421"/>
      <c r="R57" s="421"/>
      <c r="S57" s="421"/>
      <c r="T57" s="421"/>
      <c r="U57" s="332"/>
      <c r="V57" s="421"/>
    </row>
    <row r="58" spans="1:22" s="489" customFormat="1" ht="15" x14ac:dyDescent="0.25">
      <c r="A58" s="436"/>
      <c r="B58" s="421" t="s">
        <v>312</v>
      </c>
      <c r="C58" s="421"/>
      <c r="D58" s="421"/>
      <c r="E58" s="350"/>
      <c r="F58" s="339"/>
      <c r="G58" s="351"/>
      <c r="H58" s="351"/>
      <c r="I58" s="351"/>
      <c r="K58" s="350"/>
      <c r="L58" s="350"/>
      <c r="M58" s="421"/>
      <c r="N58" s="421"/>
      <c r="O58" s="421"/>
      <c r="P58" s="421"/>
      <c r="Q58" s="421"/>
      <c r="R58" s="421"/>
      <c r="S58" s="421"/>
      <c r="T58" s="421"/>
      <c r="U58" s="332"/>
      <c r="V58" s="421"/>
    </row>
    <row r="59" spans="1:22" s="489" customFormat="1" ht="15" x14ac:dyDescent="0.25">
      <c r="A59" s="436"/>
      <c r="B59" s="421" t="s">
        <v>331</v>
      </c>
      <c r="C59" s="421"/>
      <c r="D59" s="421"/>
      <c r="E59" s="350"/>
      <c r="F59" s="339"/>
      <c r="G59" s="351"/>
      <c r="H59" s="351"/>
      <c r="I59" s="351"/>
      <c r="K59" s="350"/>
      <c r="L59" s="350"/>
      <c r="M59" s="421"/>
      <c r="N59" s="421"/>
      <c r="O59" s="421"/>
      <c r="P59" s="421"/>
      <c r="Q59" s="421"/>
      <c r="R59" s="421"/>
      <c r="S59" s="421"/>
      <c r="T59" s="421"/>
      <c r="U59" s="332"/>
      <c r="V59" s="421"/>
    </row>
    <row r="60" spans="1:22" s="489" customFormat="1" ht="15" x14ac:dyDescent="0.25">
      <c r="A60" s="436"/>
      <c r="B60" s="421" t="s">
        <v>332</v>
      </c>
      <c r="C60" s="421"/>
      <c r="D60" s="421"/>
      <c r="E60" s="350"/>
      <c r="F60" s="339"/>
      <c r="G60" s="351"/>
      <c r="H60" s="351"/>
      <c r="I60" s="351"/>
      <c r="K60" s="350"/>
      <c r="L60" s="350"/>
      <c r="M60" s="421"/>
      <c r="N60" s="421"/>
      <c r="O60" s="421"/>
      <c r="P60" s="421"/>
      <c r="Q60" s="421"/>
      <c r="R60" s="421"/>
      <c r="S60" s="421"/>
      <c r="T60" s="421"/>
      <c r="U60" s="332"/>
      <c r="V60" s="421"/>
    </row>
    <row r="61" spans="1:22" s="489" customFormat="1" ht="15" x14ac:dyDescent="0.25">
      <c r="A61" s="436"/>
      <c r="B61" s="421" t="s">
        <v>333</v>
      </c>
      <c r="C61" s="421"/>
      <c r="D61" s="421"/>
      <c r="E61" s="350"/>
      <c r="F61" s="339"/>
      <c r="G61" s="351"/>
      <c r="H61" s="351"/>
      <c r="I61" s="351"/>
      <c r="K61" s="350"/>
      <c r="L61" s="350"/>
      <c r="M61" s="421"/>
      <c r="N61" s="421"/>
      <c r="O61" s="421"/>
      <c r="P61" s="421"/>
      <c r="Q61" s="421"/>
      <c r="R61" s="421"/>
      <c r="S61" s="421"/>
      <c r="T61" s="421"/>
      <c r="U61" s="332"/>
      <c r="V61" s="421"/>
    </row>
    <row r="62" spans="1:22" s="489" customFormat="1" ht="15" x14ac:dyDescent="0.25">
      <c r="A62" s="436"/>
      <c r="B62" s="421"/>
      <c r="C62" s="421"/>
      <c r="D62" s="421"/>
      <c r="E62" s="350"/>
      <c r="F62" s="339"/>
      <c r="G62" s="351"/>
      <c r="H62" s="351"/>
      <c r="I62" s="351"/>
      <c r="K62" s="350"/>
      <c r="L62" s="350"/>
      <c r="M62" s="421"/>
      <c r="N62" s="421"/>
      <c r="O62" s="421"/>
      <c r="P62" s="421"/>
      <c r="Q62" s="421"/>
      <c r="R62" s="421"/>
      <c r="S62" s="421"/>
      <c r="T62" s="421"/>
      <c r="U62" s="332"/>
      <c r="V62" s="421"/>
    </row>
    <row r="63" spans="1:22" s="489" customFormat="1" ht="15" x14ac:dyDescent="0.25">
      <c r="A63" s="436"/>
      <c r="B63" s="421" t="s">
        <v>334</v>
      </c>
      <c r="C63" s="421"/>
      <c r="D63" s="421"/>
      <c r="E63" s="350"/>
      <c r="F63" s="339"/>
      <c r="G63" s="351"/>
      <c r="H63" s="351"/>
      <c r="I63" s="351"/>
      <c r="K63" s="350"/>
      <c r="L63" s="350"/>
      <c r="M63" s="421"/>
      <c r="N63" s="421"/>
      <c r="O63" s="421"/>
      <c r="P63" s="421"/>
      <c r="Q63" s="421"/>
      <c r="R63" s="421"/>
      <c r="S63" s="421"/>
      <c r="T63" s="421"/>
      <c r="U63" s="332"/>
      <c r="V63" s="421"/>
    </row>
    <row r="64" spans="1:22" s="489" customFormat="1" ht="15" x14ac:dyDescent="0.25">
      <c r="A64" s="436"/>
      <c r="B64" s="421"/>
      <c r="C64" s="421" t="s">
        <v>335</v>
      </c>
      <c r="D64" s="539">
        <v>66350</v>
      </c>
      <c r="E64" s="350"/>
      <c r="F64" s="339"/>
      <c r="G64" s="351"/>
      <c r="H64" s="351"/>
      <c r="I64" s="351"/>
      <c r="K64" s="350"/>
      <c r="L64" s="350"/>
      <c r="M64" s="421"/>
      <c r="N64" s="421"/>
      <c r="O64" s="421"/>
      <c r="P64" s="421"/>
      <c r="Q64" s="421"/>
      <c r="R64" s="421"/>
      <c r="S64" s="421"/>
      <c r="T64" s="421"/>
      <c r="U64" s="332"/>
      <c r="V64" s="421"/>
    </row>
    <row r="65" spans="1:22" s="489" customFormat="1" ht="15" x14ac:dyDescent="0.25">
      <c r="A65" s="436"/>
      <c r="B65" s="421"/>
      <c r="C65" s="421" t="s">
        <v>336</v>
      </c>
      <c r="D65" s="539">
        <v>75625</v>
      </c>
      <c r="E65" s="350"/>
      <c r="F65" s="339"/>
      <c r="G65" s="351"/>
      <c r="H65" s="351"/>
      <c r="I65" s="351"/>
      <c r="K65" s="350"/>
      <c r="L65" s="350"/>
      <c r="M65" s="421"/>
      <c r="N65" s="421"/>
      <c r="O65" s="421"/>
      <c r="P65" s="421"/>
      <c r="Q65" s="421"/>
      <c r="R65" s="421"/>
      <c r="S65" s="421"/>
      <c r="T65" s="421"/>
      <c r="U65" s="332"/>
      <c r="V65" s="421"/>
    </row>
    <row r="66" spans="1:22" s="489" customFormat="1" ht="15" x14ac:dyDescent="0.25">
      <c r="A66" s="436"/>
      <c r="B66" s="421"/>
      <c r="C66" s="421" t="s">
        <v>337</v>
      </c>
      <c r="D66" s="539">
        <v>101275</v>
      </c>
      <c r="E66" s="350"/>
      <c r="F66" s="339"/>
      <c r="G66" s="351"/>
      <c r="H66" s="351"/>
      <c r="I66" s="351"/>
      <c r="K66" s="350"/>
      <c r="L66" s="350"/>
      <c r="M66" s="421"/>
      <c r="N66" s="421"/>
      <c r="O66" s="421"/>
      <c r="P66" s="421"/>
      <c r="Q66" s="421"/>
      <c r="R66" s="421"/>
      <c r="S66" s="421"/>
      <c r="T66" s="421"/>
      <c r="U66" s="332"/>
      <c r="V66" s="421"/>
    </row>
    <row r="67" spans="1:22" s="489" customFormat="1" ht="15" x14ac:dyDescent="0.25">
      <c r="A67" s="436"/>
      <c r="B67" s="421"/>
      <c r="C67" s="421" t="s">
        <v>339</v>
      </c>
      <c r="D67" s="539">
        <v>101075</v>
      </c>
      <c r="E67" s="350"/>
      <c r="F67" s="339"/>
      <c r="G67" s="351"/>
      <c r="H67" s="351"/>
      <c r="I67" s="351"/>
      <c r="K67" s="350"/>
      <c r="L67" s="350"/>
      <c r="M67" s="421"/>
      <c r="N67" s="421"/>
      <c r="O67" s="421"/>
      <c r="P67" s="421"/>
      <c r="Q67" s="421"/>
      <c r="R67" s="421"/>
      <c r="S67" s="421"/>
      <c r="T67" s="421"/>
      <c r="U67" s="332"/>
      <c r="V67" s="421"/>
    </row>
    <row r="68" spans="1:22" s="489" customFormat="1" x14ac:dyDescent="0.3">
      <c r="A68" s="436"/>
      <c r="B68" s="421"/>
      <c r="C68" s="421" t="s">
        <v>338</v>
      </c>
      <c r="D68" s="539">
        <v>87855</v>
      </c>
      <c r="E68" s="350"/>
      <c r="F68" s="535" t="s">
        <v>98</v>
      </c>
      <c r="G68" s="536"/>
      <c r="H68" s="350"/>
      <c r="I68" s="535" t="s">
        <v>347</v>
      </c>
      <c r="J68" s="536"/>
      <c r="K68" s="350"/>
      <c r="L68" s="535" t="s">
        <v>348</v>
      </c>
      <c r="M68" s="536"/>
      <c r="N68" s="350"/>
      <c r="O68" s="535" t="s">
        <v>349</v>
      </c>
      <c r="P68" s="536"/>
      <c r="Q68" s="421"/>
      <c r="R68" s="421"/>
      <c r="S68" s="421"/>
      <c r="T68" s="421"/>
      <c r="U68" s="332"/>
      <c r="V68" s="421"/>
    </row>
    <row r="69" spans="1:22" s="489" customFormat="1" x14ac:dyDescent="0.3">
      <c r="A69" s="436"/>
      <c r="B69" s="421"/>
      <c r="C69" s="421"/>
      <c r="D69" s="421"/>
      <c r="E69" s="534" t="s">
        <v>330</v>
      </c>
      <c r="F69" s="419" t="s">
        <v>329</v>
      </c>
      <c r="G69" s="339" t="s">
        <v>79</v>
      </c>
      <c r="H69" s="534" t="s">
        <v>330</v>
      </c>
      <c r="I69" s="419" t="s">
        <v>329</v>
      </c>
      <c r="J69" s="339" t="s">
        <v>79</v>
      </c>
      <c r="K69" s="534" t="s">
        <v>330</v>
      </c>
      <c r="L69" s="419" t="s">
        <v>329</v>
      </c>
      <c r="M69" s="339" t="s">
        <v>79</v>
      </c>
      <c r="N69" s="534" t="s">
        <v>330</v>
      </c>
      <c r="O69" s="419" t="s">
        <v>329</v>
      </c>
      <c r="P69" s="339" t="s">
        <v>79</v>
      </c>
      <c r="Q69" s="421"/>
      <c r="R69" s="421"/>
      <c r="S69" s="421"/>
      <c r="T69" s="421"/>
      <c r="U69" s="332"/>
      <c r="V69" s="421"/>
    </row>
    <row r="70" spans="1:22" s="489" customFormat="1" x14ac:dyDescent="0.3">
      <c r="A70" s="436"/>
      <c r="B70" s="421" t="s">
        <v>340</v>
      </c>
      <c r="C70" s="421"/>
      <c r="D70" s="421"/>
      <c r="E70" s="529"/>
      <c r="F70" s="529"/>
      <c r="G70" s="529"/>
      <c r="H70" s="529"/>
      <c r="I70" s="351"/>
      <c r="K70" s="350"/>
      <c r="L70" s="350"/>
      <c r="M70" s="421"/>
      <c r="N70" s="421"/>
      <c r="O70" s="421"/>
      <c r="P70" s="421"/>
      <c r="Q70" s="421"/>
      <c r="R70" s="421"/>
      <c r="S70" s="421"/>
      <c r="T70" s="421"/>
      <c r="U70" s="332"/>
      <c r="V70" s="421"/>
    </row>
    <row r="71" spans="1:22" s="489" customFormat="1" x14ac:dyDescent="0.3">
      <c r="A71" s="436"/>
      <c r="B71" s="421"/>
      <c r="C71" s="421" t="s">
        <v>341</v>
      </c>
      <c r="D71" s="421"/>
      <c r="E71" s="350">
        <v>11</v>
      </c>
      <c r="F71" s="530">
        <v>66350</v>
      </c>
      <c r="G71" s="530">
        <f>E71*F71</f>
        <v>729850</v>
      </c>
      <c r="H71" s="350">
        <v>11</v>
      </c>
      <c r="I71" s="530">
        <f>D64</f>
        <v>66350</v>
      </c>
      <c r="J71" s="530">
        <f>H71*I71</f>
        <v>729850</v>
      </c>
      <c r="K71" s="350">
        <v>11</v>
      </c>
      <c r="L71" s="530">
        <v>66350</v>
      </c>
      <c r="M71" s="530">
        <f>K71*L71</f>
        <v>729850</v>
      </c>
      <c r="N71" s="350">
        <v>11</v>
      </c>
      <c r="O71" s="530">
        <v>66350</v>
      </c>
      <c r="P71" s="530">
        <f>N71*O71</f>
        <v>729850</v>
      </c>
      <c r="Q71" s="421"/>
      <c r="R71" s="421"/>
      <c r="S71" s="421"/>
      <c r="T71" s="421"/>
      <c r="U71" s="332"/>
      <c r="V71" s="421"/>
    </row>
    <row r="72" spans="1:22" s="489" customFormat="1" x14ac:dyDescent="0.3">
      <c r="A72" s="436"/>
      <c r="B72" s="421"/>
      <c r="C72" s="421" t="s">
        <v>342</v>
      </c>
      <c r="D72" s="421"/>
      <c r="E72" s="350">
        <v>0.71</v>
      </c>
      <c r="F72" s="530">
        <v>75625</v>
      </c>
      <c r="G72" s="530">
        <f t="shared" ref="G72:G75" si="10">E72*F72</f>
        <v>53693.75</v>
      </c>
      <c r="H72" s="350">
        <v>3.4</v>
      </c>
      <c r="I72" s="530">
        <f>D65</f>
        <v>75625</v>
      </c>
      <c r="J72" s="530">
        <f t="shared" ref="J72:J77" si="11">H72*I72</f>
        <v>257125</v>
      </c>
      <c r="K72" s="350">
        <v>3.4</v>
      </c>
      <c r="L72" s="530">
        <v>75625</v>
      </c>
      <c r="M72" s="530">
        <f t="shared" ref="M72:M75" si="12">K72*L72</f>
        <v>257125</v>
      </c>
      <c r="N72" s="350">
        <v>3.4</v>
      </c>
      <c r="O72" s="530">
        <v>75625</v>
      </c>
      <c r="P72" s="530">
        <f t="shared" ref="P72:P75" si="13">N72*O72</f>
        <v>257125</v>
      </c>
      <c r="Q72" s="421"/>
      <c r="R72" s="421"/>
      <c r="S72" s="421"/>
      <c r="T72" s="421"/>
      <c r="U72" s="332"/>
      <c r="V72" s="421"/>
    </row>
    <row r="73" spans="1:22" s="489" customFormat="1" x14ac:dyDescent="0.3">
      <c r="A73" s="436"/>
      <c r="B73" s="421"/>
      <c r="C73" s="421" t="s">
        <v>343</v>
      </c>
      <c r="D73" s="421"/>
      <c r="E73" s="350">
        <v>2</v>
      </c>
      <c r="F73" s="530">
        <v>101275</v>
      </c>
      <c r="G73" s="530">
        <f t="shared" si="10"/>
        <v>202550</v>
      </c>
      <c r="H73" s="350">
        <v>2</v>
      </c>
      <c r="I73" s="530">
        <f>D66</f>
        <v>101275</v>
      </c>
      <c r="J73" s="530">
        <f t="shared" si="11"/>
        <v>202550</v>
      </c>
      <c r="K73" s="350">
        <v>2</v>
      </c>
      <c r="L73" s="530">
        <v>101275</v>
      </c>
      <c r="M73" s="530">
        <f t="shared" si="12"/>
        <v>202550</v>
      </c>
      <c r="N73" s="350">
        <v>2</v>
      </c>
      <c r="O73" s="530">
        <v>101275</v>
      </c>
      <c r="P73" s="530">
        <f t="shared" si="13"/>
        <v>202550</v>
      </c>
      <c r="Q73" s="421"/>
      <c r="R73" s="421"/>
      <c r="S73" s="421"/>
      <c r="T73" s="421"/>
      <c r="U73" s="332"/>
      <c r="V73" s="421"/>
    </row>
    <row r="74" spans="1:22" s="489" customFormat="1" x14ac:dyDescent="0.3">
      <c r="A74" s="436"/>
      <c r="B74" s="421"/>
      <c r="C74" s="421" t="s">
        <v>344</v>
      </c>
      <c r="D74" s="421"/>
      <c r="E74" s="350">
        <v>0.55000000000000004</v>
      </c>
      <c r="F74" s="530">
        <v>101075</v>
      </c>
      <c r="G74" s="530">
        <f t="shared" si="10"/>
        <v>55591.250000000007</v>
      </c>
      <c r="H74" s="350">
        <v>5.5</v>
      </c>
      <c r="I74" s="530">
        <f>D67</f>
        <v>101075</v>
      </c>
      <c r="J74" s="530">
        <f t="shared" si="11"/>
        <v>555912.5</v>
      </c>
      <c r="K74" s="350">
        <f>H74*5</f>
        <v>27.5</v>
      </c>
      <c r="L74" s="530">
        <v>101075</v>
      </c>
      <c r="M74" s="530">
        <f t="shared" si="12"/>
        <v>2779562.5</v>
      </c>
      <c r="N74" s="350">
        <f>K74*2</f>
        <v>55</v>
      </c>
      <c r="O74" s="530">
        <v>101075</v>
      </c>
      <c r="P74" s="530">
        <f t="shared" si="13"/>
        <v>5559125</v>
      </c>
      <c r="Q74" s="421"/>
      <c r="R74" s="421"/>
      <c r="S74" s="421"/>
      <c r="T74" s="421"/>
      <c r="U74" s="332"/>
      <c r="V74" s="421"/>
    </row>
    <row r="75" spans="1:22" s="489" customFormat="1" x14ac:dyDescent="0.3">
      <c r="A75" s="436"/>
      <c r="B75" s="421"/>
      <c r="C75" s="421" t="s">
        <v>345</v>
      </c>
      <c r="D75" s="421"/>
      <c r="E75" s="350">
        <v>3.1</v>
      </c>
      <c r="F75" s="530">
        <v>101075</v>
      </c>
      <c r="G75" s="530">
        <f t="shared" si="10"/>
        <v>313332.5</v>
      </c>
      <c r="H75" s="350">
        <v>3.1</v>
      </c>
      <c r="I75" s="530">
        <f>D67</f>
        <v>101075</v>
      </c>
      <c r="J75" s="530">
        <f t="shared" si="11"/>
        <v>313332.5</v>
      </c>
      <c r="K75" s="350">
        <v>3.1</v>
      </c>
      <c r="L75" s="530">
        <v>101075</v>
      </c>
      <c r="M75" s="530">
        <f t="shared" si="12"/>
        <v>313332.5</v>
      </c>
      <c r="N75" s="350">
        <f>K75</f>
        <v>3.1</v>
      </c>
      <c r="O75" s="530">
        <v>101075</v>
      </c>
      <c r="P75" s="530">
        <f t="shared" si="13"/>
        <v>313332.5</v>
      </c>
      <c r="Q75" s="421"/>
      <c r="R75" s="421"/>
      <c r="S75" s="421"/>
      <c r="T75" s="421"/>
      <c r="U75" s="332"/>
      <c r="V75" s="421"/>
    </row>
    <row r="76" spans="1:22" s="489" customFormat="1" x14ac:dyDescent="0.3">
      <c r="A76" s="436"/>
      <c r="B76" s="421"/>
      <c r="C76" s="421" t="s">
        <v>346</v>
      </c>
      <c r="D76" s="421"/>
      <c r="E76" s="350"/>
      <c r="F76" s="530"/>
      <c r="G76" s="530"/>
      <c r="H76" s="350"/>
      <c r="I76" s="530"/>
      <c r="J76" s="530"/>
      <c r="K76" s="350"/>
      <c r="L76" s="530"/>
      <c r="M76" s="530"/>
      <c r="N76" s="350"/>
      <c r="O76" s="530"/>
      <c r="P76" s="530"/>
      <c r="Q76" s="421"/>
      <c r="R76" s="421"/>
      <c r="S76" s="421"/>
      <c r="T76" s="421"/>
      <c r="U76" s="332"/>
      <c r="V76" s="421"/>
    </row>
    <row r="77" spans="1:22" s="489" customFormat="1" x14ac:dyDescent="0.3">
      <c r="A77" s="436"/>
      <c r="B77" s="421"/>
      <c r="C77" s="421" t="s">
        <v>143</v>
      </c>
      <c r="D77" s="329">
        <v>0.1</v>
      </c>
      <c r="E77" s="350">
        <f>SUM(E71:E76)*D77</f>
        <v>1.7360000000000004</v>
      </c>
      <c r="F77" s="530">
        <v>87855</v>
      </c>
      <c r="G77" s="530">
        <f t="shared" ref="G77" si="14">E77*F77</f>
        <v>152516.28000000003</v>
      </c>
      <c r="H77" s="350">
        <v>2.52</v>
      </c>
      <c r="I77" s="530">
        <f>D68</f>
        <v>87855</v>
      </c>
      <c r="J77" s="530">
        <f t="shared" si="11"/>
        <v>221394.6</v>
      </c>
      <c r="K77" s="350">
        <v>2.52</v>
      </c>
      <c r="L77" s="530">
        <v>87855</v>
      </c>
      <c r="M77" s="530">
        <f t="shared" ref="M77" si="15">K77*L77</f>
        <v>221394.6</v>
      </c>
      <c r="N77" s="350">
        <v>2.52</v>
      </c>
      <c r="O77" s="530">
        <v>87855</v>
      </c>
      <c r="P77" s="530">
        <f t="shared" ref="P77" si="16">N77*O77</f>
        <v>221394.6</v>
      </c>
      <c r="Q77" s="421"/>
      <c r="R77" s="421"/>
      <c r="S77" s="421"/>
      <c r="T77" s="421"/>
      <c r="U77" s="332"/>
      <c r="V77" s="421"/>
    </row>
    <row r="78" spans="1:22" s="489" customFormat="1" x14ac:dyDescent="0.3">
      <c r="A78" s="436"/>
      <c r="B78" s="421"/>
      <c r="C78" s="421"/>
      <c r="D78" s="421"/>
      <c r="E78" s="350"/>
      <c r="F78" s="339"/>
      <c r="G78" s="530"/>
      <c r="H78" s="350"/>
      <c r="I78" s="339"/>
      <c r="J78" s="530"/>
      <c r="K78" s="350"/>
      <c r="L78" s="339"/>
      <c r="M78" s="530"/>
      <c r="N78" s="421"/>
      <c r="O78" s="421"/>
      <c r="P78" s="421"/>
      <c r="Q78" s="421"/>
      <c r="R78" s="421"/>
      <c r="S78" s="421"/>
      <c r="T78" s="421"/>
      <c r="U78" s="332"/>
      <c r="V78" s="421"/>
    </row>
    <row r="79" spans="1:22" s="489" customFormat="1" x14ac:dyDescent="0.3">
      <c r="A79" s="436"/>
      <c r="B79" s="331" t="s">
        <v>81</v>
      </c>
      <c r="C79" s="331"/>
      <c r="D79" s="331"/>
      <c r="E79" s="545">
        <f>SUM(E71:E77)</f>
        <v>19.096000000000004</v>
      </c>
      <c r="F79" s="546"/>
      <c r="G79" s="547">
        <f>SUM(G71:G77)</f>
        <v>1507533.78</v>
      </c>
      <c r="H79" s="545">
        <f>SUM(H71:H77)</f>
        <v>27.52</v>
      </c>
      <c r="I79" s="546"/>
      <c r="J79" s="547">
        <f>SUM(J71:J77)</f>
        <v>2280164.6</v>
      </c>
      <c r="K79" s="545">
        <f>SUM(K71:K77)</f>
        <v>49.52</v>
      </c>
      <c r="L79" s="546"/>
      <c r="M79" s="547">
        <f>SUM(M71:M77)</f>
        <v>4503814.5999999996</v>
      </c>
      <c r="N79" s="548">
        <f t="shared" ref="N79:P79" si="17">SUM(N71:N77)</f>
        <v>77.02</v>
      </c>
      <c r="O79" s="547"/>
      <c r="P79" s="547">
        <f t="shared" si="17"/>
        <v>7283377.0999999996</v>
      </c>
      <c r="Q79" s="421"/>
      <c r="R79" s="421"/>
      <c r="S79" s="421"/>
      <c r="T79" s="421"/>
      <c r="U79" s="332"/>
      <c r="V79" s="421"/>
    </row>
    <row r="80" spans="1:22" s="489" customFormat="1" x14ac:dyDescent="0.3">
      <c r="A80" s="436"/>
      <c r="B80" s="421"/>
      <c r="C80" s="421"/>
      <c r="D80" s="421"/>
      <c r="E80" s="350"/>
      <c r="F80" s="339"/>
      <c r="G80" s="351"/>
      <c r="H80" s="351"/>
      <c r="I80" s="351"/>
      <c r="K80" s="350"/>
      <c r="L80" s="350"/>
      <c r="M80" s="421"/>
      <c r="N80" s="421"/>
      <c r="O80" s="421"/>
      <c r="P80" s="421"/>
      <c r="Q80" s="421"/>
      <c r="R80" s="421"/>
      <c r="S80" s="421"/>
      <c r="T80" s="421"/>
      <c r="U80" s="332"/>
      <c r="V80" s="421"/>
    </row>
    <row r="81" spans="1:22" x14ac:dyDescent="0.3">
      <c r="A81" s="374"/>
      <c r="B81" s="374"/>
      <c r="C81" s="374"/>
      <c r="D81" s="374"/>
      <c r="E81" s="374"/>
      <c r="F81" s="489"/>
      <c r="G81" s="95" t="s">
        <v>260</v>
      </c>
      <c r="H81" s="400" t="s">
        <v>66</v>
      </c>
      <c r="I81" s="400"/>
      <c r="K81" s="350"/>
      <c r="L81" s="374"/>
      <c r="M81" s="374"/>
      <c r="N81" s="374"/>
      <c r="O81" s="374"/>
      <c r="P81" s="374"/>
      <c r="Q81" s="374"/>
      <c r="R81" s="374"/>
      <c r="S81" s="374"/>
      <c r="T81" s="374"/>
      <c r="U81" s="374"/>
      <c r="V81" s="374"/>
    </row>
    <row r="82" spans="1:22" x14ac:dyDescent="0.3">
      <c r="A82" s="436" t="s">
        <v>77</v>
      </c>
      <c r="B82" s="342" t="s">
        <v>50</v>
      </c>
      <c r="C82" s="374"/>
      <c r="D82" s="374"/>
      <c r="E82" s="374"/>
      <c r="F82" s="529">
        <v>1</v>
      </c>
      <c r="G82" s="529">
        <v>10</v>
      </c>
      <c r="H82" s="529">
        <v>50</v>
      </c>
      <c r="I82" s="529">
        <v>100</v>
      </c>
      <c r="K82" s="350"/>
      <c r="L82" s="374"/>
      <c r="M82" s="374"/>
      <c r="N82" s="374"/>
      <c r="O82" s="374"/>
      <c r="P82" s="374"/>
      <c r="Q82" s="374"/>
      <c r="R82" s="374"/>
      <c r="S82" s="374"/>
      <c r="T82" s="374"/>
      <c r="U82" s="374"/>
      <c r="V82" s="374"/>
    </row>
    <row r="83" spans="1:22" s="489" customFormat="1" x14ac:dyDescent="0.3">
      <c r="A83" s="436"/>
      <c r="B83" s="342"/>
      <c r="C83" s="421"/>
      <c r="D83" s="421"/>
      <c r="E83" s="421"/>
      <c r="F83" s="529"/>
      <c r="G83" s="529"/>
      <c r="H83" s="529"/>
      <c r="I83" s="529"/>
      <c r="K83" s="350"/>
      <c r="L83" s="421"/>
      <c r="M83" s="421"/>
      <c r="N83" s="421"/>
      <c r="O83" s="421"/>
      <c r="P83" s="421"/>
      <c r="Q83" s="421"/>
      <c r="R83" s="421"/>
      <c r="S83" s="421"/>
      <c r="T83" s="421"/>
      <c r="U83" s="421"/>
      <c r="V83" s="421"/>
    </row>
    <row r="84" spans="1:22" s="489" customFormat="1" x14ac:dyDescent="0.3">
      <c r="A84" s="436"/>
      <c r="B84" s="421" t="s">
        <v>312</v>
      </c>
      <c r="C84" s="421"/>
      <c r="D84" s="421"/>
      <c r="E84" s="421"/>
      <c r="F84" s="529"/>
      <c r="G84" s="529"/>
      <c r="H84" s="529"/>
      <c r="I84" s="529"/>
      <c r="K84" s="350"/>
      <c r="L84" s="421"/>
      <c r="M84" s="421"/>
      <c r="N84" s="421"/>
      <c r="O84" s="421"/>
      <c r="P84" s="421"/>
      <c r="Q84" s="421"/>
      <c r="R84" s="421"/>
      <c r="S84" s="421"/>
      <c r="T84" s="421"/>
      <c r="U84" s="421"/>
      <c r="V84" s="421"/>
    </row>
    <row r="85" spans="1:22" s="489" customFormat="1" x14ac:dyDescent="0.3">
      <c r="A85" s="436"/>
      <c r="B85" s="421" t="s">
        <v>351</v>
      </c>
      <c r="C85" s="421"/>
      <c r="D85" s="421"/>
      <c r="E85" s="421"/>
      <c r="F85" s="529"/>
      <c r="G85" s="529"/>
      <c r="H85" s="529"/>
      <c r="I85" s="529"/>
      <c r="K85" s="350"/>
      <c r="L85" s="421"/>
      <c r="M85" s="421"/>
      <c r="N85" s="421"/>
      <c r="O85" s="421"/>
      <c r="P85" s="421"/>
      <c r="Q85" s="421"/>
      <c r="R85" s="421"/>
      <c r="S85" s="421"/>
      <c r="T85" s="421"/>
      <c r="U85" s="421"/>
      <c r="V85" s="421"/>
    </row>
    <row r="86" spans="1:22" s="489" customFormat="1" x14ac:dyDescent="0.3">
      <c r="A86" s="436"/>
      <c r="B86" s="421" t="s">
        <v>355</v>
      </c>
      <c r="C86" s="421"/>
      <c r="D86" s="421"/>
      <c r="E86" s="421"/>
      <c r="F86" s="529"/>
      <c r="G86" s="529"/>
      <c r="H86" s="529"/>
      <c r="I86" s="529"/>
      <c r="K86" s="350"/>
      <c r="L86" s="421"/>
      <c r="M86" s="421"/>
      <c r="N86" s="421"/>
      <c r="O86" s="421"/>
      <c r="P86" s="421"/>
      <c r="Q86" s="421"/>
      <c r="R86" s="421"/>
      <c r="S86" s="421"/>
      <c r="T86" s="421"/>
      <c r="U86" s="421"/>
      <c r="V86" s="421"/>
    </row>
    <row r="87" spans="1:22" s="489" customFormat="1" x14ac:dyDescent="0.3">
      <c r="A87" s="436"/>
      <c r="B87" s="421" t="s">
        <v>352</v>
      </c>
      <c r="C87" s="421"/>
      <c r="D87" s="421"/>
      <c r="E87" s="421"/>
      <c r="F87" s="529"/>
      <c r="G87" s="529"/>
      <c r="H87" s="529"/>
      <c r="I87" s="529"/>
      <c r="K87" s="350"/>
      <c r="L87" s="421"/>
      <c r="M87" s="421"/>
      <c r="N87" s="421"/>
      <c r="O87" s="421"/>
      <c r="P87" s="421"/>
      <c r="Q87" s="421"/>
      <c r="R87" s="421"/>
      <c r="S87" s="421"/>
      <c r="T87" s="421"/>
      <c r="U87" s="421"/>
      <c r="V87" s="421"/>
    </row>
    <row r="88" spans="1:22" s="489" customFormat="1" x14ac:dyDescent="0.3">
      <c r="A88" s="436"/>
      <c r="B88" s="421" t="s">
        <v>353</v>
      </c>
      <c r="C88" s="421"/>
      <c r="D88" s="421"/>
      <c r="E88" s="421"/>
      <c r="F88" s="529"/>
      <c r="G88" s="529"/>
      <c r="H88" s="529"/>
      <c r="I88" s="529"/>
      <c r="K88" s="350"/>
      <c r="L88" s="421"/>
      <c r="M88" s="421"/>
      <c r="N88" s="421"/>
      <c r="O88" s="421"/>
      <c r="P88" s="421"/>
      <c r="Q88" s="421"/>
      <c r="R88" s="421"/>
      <c r="S88" s="421"/>
      <c r="T88" s="421"/>
      <c r="U88" s="421"/>
      <c r="V88" s="421"/>
    </row>
    <row r="89" spans="1:22" s="489" customFormat="1" x14ac:dyDescent="0.3">
      <c r="A89" s="436"/>
      <c r="B89" s="421" t="s">
        <v>354</v>
      </c>
      <c r="C89" s="421"/>
      <c r="D89" s="421"/>
      <c r="E89" s="350"/>
      <c r="F89" s="535" t="s">
        <v>98</v>
      </c>
      <c r="G89" s="536"/>
      <c r="H89" s="350"/>
      <c r="I89" s="535" t="s">
        <v>359</v>
      </c>
      <c r="J89" s="536"/>
      <c r="K89" s="350"/>
      <c r="L89" s="535" t="s">
        <v>348</v>
      </c>
      <c r="M89" s="536"/>
      <c r="N89" s="350"/>
      <c r="O89" s="535" t="s">
        <v>349</v>
      </c>
      <c r="P89" s="536"/>
      <c r="Q89" s="421"/>
      <c r="R89" s="421"/>
      <c r="S89" s="421"/>
      <c r="T89" s="421"/>
      <c r="U89" s="421"/>
      <c r="V89" s="421"/>
    </row>
    <row r="90" spans="1:22" s="489" customFormat="1" x14ac:dyDescent="0.3">
      <c r="A90" s="436"/>
      <c r="B90" s="342"/>
      <c r="C90" s="421"/>
      <c r="D90" s="421"/>
      <c r="E90" s="534" t="s">
        <v>330</v>
      </c>
      <c r="F90" s="419" t="s">
        <v>329</v>
      </c>
      <c r="G90" s="339" t="s">
        <v>79</v>
      </c>
      <c r="H90" s="534" t="s">
        <v>330</v>
      </c>
      <c r="I90" s="419" t="s">
        <v>329</v>
      </c>
      <c r="J90" s="339" t="s">
        <v>79</v>
      </c>
      <c r="K90" s="534" t="s">
        <v>330</v>
      </c>
      <c r="L90" s="419" t="s">
        <v>329</v>
      </c>
      <c r="M90" s="339" t="s">
        <v>79</v>
      </c>
      <c r="N90" s="534" t="s">
        <v>330</v>
      </c>
      <c r="O90" s="419" t="s">
        <v>329</v>
      </c>
      <c r="P90" s="339" t="s">
        <v>79</v>
      </c>
      <c r="Q90" s="421"/>
      <c r="R90" s="421"/>
      <c r="S90" s="421"/>
      <c r="T90" s="421"/>
      <c r="U90" s="421"/>
      <c r="V90" s="421"/>
    </row>
    <row r="91" spans="1:22" s="489" customFormat="1" x14ac:dyDescent="0.3">
      <c r="A91" s="436"/>
      <c r="B91" s="421" t="s">
        <v>356</v>
      </c>
      <c r="C91" s="421"/>
      <c r="D91" s="421"/>
      <c r="E91" s="421"/>
      <c r="F91" s="529"/>
      <c r="G91" s="529"/>
      <c r="H91" s="529"/>
      <c r="I91" s="529"/>
      <c r="K91" s="350"/>
      <c r="L91" s="421"/>
      <c r="M91" s="421"/>
      <c r="N91" s="421"/>
      <c r="O91" s="421"/>
      <c r="P91" s="421"/>
      <c r="Q91" s="421"/>
      <c r="R91" s="421"/>
      <c r="S91" s="421"/>
      <c r="T91" s="421"/>
      <c r="U91" s="421"/>
      <c r="V91" s="421"/>
    </row>
    <row r="92" spans="1:22" s="489" customFormat="1" x14ac:dyDescent="0.3">
      <c r="A92" s="436"/>
      <c r="B92" s="421">
        <v>1</v>
      </c>
      <c r="C92" s="421" t="s">
        <v>357</v>
      </c>
      <c r="D92" s="421"/>
      <c r="E92" s="421"/>
      <c r="F92" s="529"/>
      <c r="G92" s="530">
        <v>181750</v>
      </c>
      <c r="H92" s="529"/>
      <c r="I92" s="529"/>
      <c r="J92" s="412">
        <f>G92</f>
        <v>181750</v>
      </c>
      <c r="K92" s="350"/>
      <c r="L92" s="421"/>
      <c r="M92" s="539">
        <v>181750</v>
      </c>
      <c r="N92" s="421"/>
      <c r="O92" s="421"/>
      <c r="P92" s="539">
        <v>181750</v>
      </c>
      <c r="Q92" s="421"/>
      <c r="R92" s="421"/>
      <c r="S92" s="421"/>
      <c r="T92" s="421"/>
      <c r="U92" s="421"/>
      <c r="V92" s="421"/>
    </row>
    <row r="93" spans="1:22" s="489" customFormat="1" x14ac:dyDescent="0.3">
      <c r="A93" s="436"/>
      <c r="B93" s="421">
        <v>2</v>
      </c>
      <c r="C93" s="421" t="s">
        <v>47</v>
      </c>
      <c r="D93" s="339" t="s">
        <v>358</v>
      </c>
      <c r="E93" s="421">
        <v>1</v>
      </c>
      <c r="F93" s="530">
        <v>66775</v>
      </c>
      <c r="G93" s="530">
        <f>F93*E93</f>
        <v>66775</v>
      </c>
      <c r="H93" s="529">
        <v>10</v>
      </c>
      <c r="I93" s="530">
        <v>66775</v>
      </c>
      <c r="J93" s="412">
        <f>I93*H93</f>
        <v>667750</v>
      </c>
      <c r="K93" s="350">
        <v>50</v>
      </c>
      <c r="L93" s="539">
        <v>66775</v>
      </c>
      <c r="M93" s="549">
        <f>L93*K93</f>
        <v>3338750</v>
      </c>
      <c r="N93" s="421">
        <v>100</v>
      </c>
      <c r="O93" s="539">
        <v>66775</v>
      </c>
      <c r="P93" s="549">
        <f>O93*N93</f>
        <v>6677500</v>
      </c>
      <c r="Q93" s="421"/>
      <c r="R93" s="421"/>
      <c r="S93" s="421"/>
      <c r="T93" s="421"/>
      <c r="U93" s="421"/>
      <c r="V93" s="421"/>
    </row>
    <row r="94" spans="1:22" s="489" customFormat="1" x14ac:dyDescent="0.3">
      <c r="A94" s="436"/>
      <c r="B94" s="421">
        <v>3</v>
      </c>
      <c r="C94" s="421" t="s">
        <v>143</v>
      </c>
      <c r="D94" s="329">
        <v>0.1</v>
      </c>
      <c r="E94" s="421">
        <f>D94*E93</f>
        <v>0.1</v>
      </c>
      <c r="F94" s="530">
        <f>F93</f>
        <v>66775</v>
      </c>
      <c r="G94" s="530">
        <f>F94*E94</f>
        <v>6677.5</v>
      </c>
      <c r="H94" s="529">
        <v>1</v>
      </c>
      <c r="I94" s="530">
        <v>66775</v>
      </c>
      <c r="J94" s="412">
        <f>I94*H94</f>
        <v>66775</v>
      </c>
      <c r="K94" s="350">
        <v>5</v>
      </c>
      <c r="L94" s="539">
        <v>66775</v>
      </c>
      <c r="M94" s="549">
        <f>L94*K94</f>
        <v>333875</v>
      </c>
      <c r="N94" s="421">
        <v>10</v>
      </c>
      <c r="O94" s="539">
        <v>66775</v>
      </c>
      <c r="P94" s="549">
        <f>O94*N94</f>
        <v>667750</v>
      </c>
      <c r="Q94" s="421"/>
      <c r="R94" s="421"/>
      <c r="S94" s="421"/>
      <c r="T94" s="421"/>
      <c r="U94" s="421"/>
      <c r="V94" s="421"/>
    </row>
    <row r="95" spans="1:22" s="489" customFormat="1" x14ac:dyDescent="0.3">
      <c r="A95" s="436"/>
      <c r="B95" s="342"/>
      <c r="C95" s="421"/>
      <c r="D95" s="421"/>
      <c r="E95" s="421"/>
      <c r="F95" s="529"/>
      <c r="G95" s="529"/>
      <c r="H95" s="529"/>
      <c r="I95" s="529"/>
      <c r="K95" s="350"/>
      <c r="L95" s="421"/>
      <c r="M95" s="421"/>
      <c r="N95" s="421"/>
      <c r="O95" s="421"/>
      <c r="P95" s="421"/>
      <c r="Q95" s="421"/>
      <c r="R95" s="421"/>
      <c r="S95" s="421"/>
      <c r="T95" s="421"/>
      <c r="U95" s="421"/>
      <c r="V95" s="421"/>
    </row>
    <row r="96" spans="1:22" s="489" customFormat="1" x14ac:dyDescent="0.3">
      <c r="A96" s="436"/>
      <c r="B96" s="331" t="s">
        <v>81</v>
      </c>
      <c r="C96" s="331"/>
      <c r="D96" s="331"/>
      <c r="E96" s="331">
        <f>SUM(E92:E94)</f>
        <v>1.1000000000000001</v>
      </c>
      <c r="F96" s="331"/>
      <c r="G96" s="550">
        <f t="shared" ref="G96:P96" si="18">SUM(G92:G94)</f>
        <v>255202.5</v>
      </c>
      <c r="H96" s="550">
        <f t="shared" si="18"/>
        <v>11</v>
      </c>
      <c r="I96" s="550"/>
      <c r="J96" s="550">
        <f t="shared" si="18"/>
        <v>916275</v>
      </c>
      <c r="K96" s="550">
        <f t="shared" si="18"/>
        <v>55</v>
      </c>
      <c r="L96" s="550"/>
      <c r="M96" s="550">
        <f t="shared" si="18"/>
        <v>3854375</v>
      </c>
      <c r="N96" s="550">
        <f t="shared" si="18"/>
        <v>110</v>
      </c>
      <c r="O96" s="550"/>
      <c r="P96" s="550">
        <f t="shared" si="18"/>
        <v>7527000</v>
      </c>
      <c r="Q96" s="421"/>
      <c r="R96" s="421"/>
      <c r="S96" s="421"/>
      <c r="T96" s="421"/>
      <c r="U96" s="421"/>
      <c r="V96" s="421"/>
    </row>
    <row r="97" spans="1:22" s="489" customFormat="1" x14ac:dyDescent="0.3">
      <c r="A97" s="436"/>
      <c r="B97" s="342"/>
      <c r="C97" s="421"/>
      <c r="D97" s="421"/>
      <c r="E97" s="421"/>
      <c r="F97" s="529"/>
      <c r="G97" s="529"/>
      <c r="H97" s="529"/>
      <c r="I97" s="529"/>
      <c r="K97" s="350"/>
      <c r="L97" s="421"/>
      <c r="M97" s="421"/>
      <c r="N97" s="421"/>
      <c r="O97" s="421"/>
      <c r="P97" s="421"/>
      <c r="Q97" s="421"/>
      <c r="R97" s="421"/>
      <c r="S97" s="421"/>
      <c r="T97" s="421"/>
      <c r="U97" s="421"/>
      <c r="V97" s="421"/>
    </row>
    <row r="98" spans="1:22" x14ac:dyDescent="0.3">
      <c r="A98" s="373"/>
      <c r="B98" s="373"/>
      <c r="C98" s="349"/>
      <c r="D98" s="349"/>
      <c r="E98" s="349"/>
      <c r="F98" s="349"/>
      <c r="G98" s="349"/>
      <c r="H98" s="349"/>
      <c r="I98" s="349"/>
      <c r="K98" s="373"/>
      <c r="L98" s="373"/>
      <c r="M98" s="373"/>
      <c r="N98" s="373"/>
      <c r="O98" s="373"/>
      <c r="P98" s="373"/>
      <c r="Q98" s="373"/>
      <c r="R98" s="306"/>
      <c r="S98" s="306"/>
      <c r="T98" s="306"/>
      <c r="U98" s="306"/>
      <c r="V98" s="306"/>
    </row>
    <row r="99" spans="1:22" x14ac:dyDescent="0.3">
      <c r="A99" s="342" t="s">
        <v>78</v>
      </c>
      <c r="B99" s="342" t="s">
        <v>51</v>
      </c>
      <c r="C99" s="381"/>
      <c r="D99" s="381"/>
      <c r="E99" s="381"/>
      <c r="F99" s="339" t="s">
        <v>85</v>
      </c>
      <c r="G99" s="351" t="s">
        <v>107</v>
      </c>
      <c r="H99" s="351" t="s">
        <v>109</v>
      </c>
      <c r="I99" s="351" t="s">
        <v>108</v>
      </c>
      <c r="K99" s="381"/>
      <c r="L99" s="306"/>
      <c r="M99" s="306"/>
      <c r="N99" s="306"/>
      <c r="O99" s="306"/>
      <c r="P99" s="306"/>
      <c r="Q99" s="306"/>
      <c r="R99" s="306"/>
      <c r="S99" s="306"/>
      <c r="T99" s="306"/>
      <c r="U99" s="306"/>
      <c r="V99" s="306"/>
    </row>
    <row r="100" spans="1:22" s="489" customFormat="1" x14ac:dyDescent="0.3">
      <c r="A100" s="342"/>
      <c r="B100" s="342"/>
      <c r="C100" s="421"/>
      <c r="D100" s="421"/>
      <c r="E100" s="421"/>
      <c r="F100" s="339"/>
      <c r="G100" s="351"/>
      <c r="H100" s="351"/>
      <c r="I100" s="351"/>
      <c r="K100" s="421"/>
      <c r="L100" s="306"/>
      <c r="M100" s="306"/>
      <c r="N100" s="306"/>
      <c r="O100" s="306"/>
      <c r="P100" s="306"/>
      <c r="Q100" s="306"/>
      <c r="R100" s="306"/>
      <c r="S100" s="306"/>
      <c r="T100" s="306"/>
      <c r="U100" s="306"/>
      <c r="V100" s="306"/>
    </row>
    <row r="101" spans="1:22" s="489" customFormat="1" x14ac:dyDescent="0.3">
      <c r="A101" s="342"/>
      <c r="B101" s="421" t="s">
        <v>360</v>
      </c>
      <c r="C101" s="421"/>
      <c r="D101" s="421"/>
      <c r="E101" s="421"/>
      <c r="F101" s="339"/>
      <c r="G101" s="351"/>
      <c r="H101" s="351"/>
      <c r="I101" s="351"/>
      <c r="K101" s="421"/>
      <c r="L101" s="306"/>
      <c r="M101" s="306"/>
      <c r="N101" s="306"/>
      <c r="O101" s="306"/>
      <c r="P101" s="306"/>
      <c r="Q101" s="306"/>
      <c r="R101" s="306"/>
      <c r="S101" s="306"/>
      <c r="T101" s="306"/>
      <c r="U101" s="306"/>
      <c r="V101" s="306"/>
    </row>
    <row r="102" spans="1:22" s="489" customFormat="1" x14ac:dyDescent="0.3">
      <c r="A102" s="342"/>
      <c r="B102" s="421" t="s">
        <v>361</v>
      </c>
      <c r="C102" s="421"/>
      <c r="D102" s="421"/>
      <c r="E102" s="421"/>
      <c r="F102" s="339"/>
      <c r="G102" s="351"/>
      <c r="H102" s="351"/>
      <c r="I102" s="351"/>
      <c r="K102" s="421"/>
      <c r="L102" s="306"/>
      <c r="M102" s="306"/>
      <c r="N102" s="306"/>
      <c r="O102" s="306"/>
      <c r="P102" s="306"/>
      <c r="Q102" s="306"/>
      <c r="R102" s="306"/>
      <c r="S102" s="306"/>
      <c r="T102" s="306"/>
      <c r="U102" s="306"/>
      <c r="V102" s="306"/>
    </row>
    <row r="103" spans="1:22" x14ac:dyDescent="0.3">
      <c r="A103" s="381"/>
      <c r="B103" s="342"/>
      <c r="C103" s="381"/>
      <c r="D103" s="381"/>
      <c r="E103" s="381"/>
      <c r="F103" s="352"/>
      <c r="G103" s="352"/>
      <c r="H103" s="352"/>
      <c r="I103" s="352"/>
      <c r="K103" s="381"/>
      <c r="L103" s="306"/>
      <c r="M103" s="306"/>
      <c r="N103" s="306"/>
      <c r="O103" s="306"/>
      <c r="P103" s="306"/>
      <c r="Q103" s="306"/>
      <c r="R103" s="306"/>
      <c r="S103" s="306"/>
      <c r="T103" s="306"/>
      <c r="U103" s="306"/>
      <c r="V103" s="306"/>
    </row>
    <row r="104" spans="1:22" x14ac:dyDescent="0.3">
      <c r="A104" s="381"/>
      <c r="B104" s="331" t="s">
        <v>81</v>
      </c>
      <c r="C104" s="331"/>
      <c r="D104" s="331"/>
      <c r="E104" s="331"/>
      <c r="F104" s="335">
        <f>G96</f>
        <v>255202.5</v>
      </c>
      <c r="G104" s="335">
        <f>J96</f>
        <v>916275</v>
      </c>
      <c r="H104" s="335">
        <f>M96</f>
        <v>3854375</v>
      </c>
      <c r="I104" s="335">
        <f>P96</f>
        <v>7527000</v>
      </c>
      <c r="K104" s="381"/>
      <c r="L104" s="306"/>
      <c r="M104" s="306"/>
      <c r="N104" s="306"/>
      <c r="O104" s="306"/>
      <c r="P104" s="306"/>
      <c r="Q104" s="306"/>
      <c r="R104" s="306"/>
      <c r="S104" s="306"/>
      <c r="T104" s="306"/>
      <c r="U104" s="306"/>
      <c r="V104" s="306"/>
    </row>
    <row r="105" spans="1:22" x14ac:dyDescent="0.3">
      <c r="A105" s="381"/>
      <c r="B105" s="381"/>
      <c r="C105" s="381"/>
      <c r="D105" s="381"/>
      <c r="E105" s="381"/>
      <c r="F105" s="381"/>
      <c r="G105" s="381"/>
      <c r="H105" s="381"/>
      <c r="I105" s="381"/>
      <c r="J105" s="381"/>
      <c r="K105" s="381"/>
      <c r="L105" s="306"/>
      <c r="M105" s="306"/>
      <c r="N105" s="306"/>
      <c r="O105" s="306"/>
      <c r="P105" s="306"/>
      <c r="Q105" s="306"/>
      <c r="R105" s="306"/>
      <c r="S105" s="306"/>
      <c r="T105" s="306"/>
      <c r="U105" s="306"/>
      <c r="V105" s="306"/>
    </row>
    <row r="106" spans="1:22" x14ac:dyDescent="0.3">
      <c r="A106" s="381"/>
      <c r="B106" s="381"/>
      <c r="C106" s="381"/>
      <c r="D106" s="381"/>
      <c r="E106" s="381"/>
      <c r="F106" s="381"/>
      <c r="G106" s="381"/>
      <c r="H106" s="381"/>
      <c r="I106" s="381"/>
      <c r="J106" s="381"/>
      <c r="K106" s="381"/>
      <c r="L106" s="306"/>
      <c r="M106" s="306"/>
      <c r="N106" s="306"/>
      <c r="O106" s="306"/>
      <c r="P106" s="306"/>
      <c r="Q106" s="306"/>
      <c r="R106" s="306"/>
      <c r="S106" s="306"/>
      <c r="T106" s="306"/>
      <c r="U106" s="306"/>
      <c r="V106" s="306"/>
    </row>
    <row r="107" spans="1:22" s="263" customFormat="1" x14ac:dyDescent="0.3">
      <c r="A107" s="342" t="s">
        <v>149</v>
      </c>
      <c r="B107" s="374"/>
      <c r="C107" s="374"/>
      <c r="D107" s="374"/>
      <c r="E107" s="374"/>
      <c r="F107" s="374"/>
      <c r="G107" s="374"/>
      <c r="H107" s="374"/>
      <c r="I107" s="374"/>
      <c r="J107" s="374"/>
      <c r="K107" s="374"/>
      <c r="L107" s="306"/>
      <c r="M107" s="306"/>
      <c r="N107" s="306"/>
      <c r="O107" s="306"/>
      <c r="P107" s="306"/>
      <c r="Q107" s="306"/>
      <c r="R107" s="306"/>
      <c r="S107" s="306"/>
      <c r="T107" s="306"/>
      <c r="U107" s="306"/>
      <c r="V107" s="306"/>
    </row>
    <row r="108" spans="1:22" s="621" customFormat="1" x14ac:dyDescent="0.3">
      <c r="A108" s="622" t="s">
        <v>73</v>
      </c>
      <c r="B108" s="622"/>
      <c r="C108" s="622"/>
      <c r="D108" s="622"/>
      <c r="E108" s="622"/>
      <c r="F108" s="622"/>
      <c r="G108" s="622"/>
      <c r="H108" s="622"/>
      <c r="I108" s="622"/>
      <c r="J108" s="622"/>
      <c r="K108" s="622"/>
      <c r="L108" s="623"/>
      <c r="M108" s="623"/>
      <c r="N108" s="623"/>
      <c r="O108" s="623"/>
      <c r="P108" s="623"/>
      <c r="Q108" s="623"/>
      <c r="R108" s="623"/>
      <c r="S108" s="623"/>
      <c r="T108" s="623"/>
      <c r="U108" s="623"/>
      <c r="V108" s="623"/>
    </row>
    <row r="109" spans="1:22" s="621" customFormat="1" x14ac:dyDescent="0.3">
      <c r="A109" s="622" t="s">
        <v>74</v>
      </c>
      <c r="B109" s="622" t="s">
        <v>469</v>
      </c>
      <c r="C109" s="622"/>
      <c r="D109" s="622"/>
      <c r="E109" s="622"/>
      <c r="F109" s="622"/>
      <c r="G109" s="622"/>
      <c r="H109" s="622"/>
      <c r="I109" s="622"/>
      <c r="J109" s="622"/>
      <c r="K109" s="622"/>
      <c r="L109" s="623"/>
      <c r="M109" s="623"/>
      <c r="N109" s="623"/>
      <c r="O109" s="623"/>
      <c r="P109" s="623"/>
      <c r="Q109" s="623"/>
      <c r="R109" s="623"/>
      <c r="S109" s="623"/>
      <c r="T109" s="623"/>
      <c r="U109" s="623"/>
      <c r="V109" s="623"/>
    </row>
    <row r="110" spans="1:22" s="621" customFormat="1" x14ac:dyDescent="0.3">
      <c r="A110" s="622" t="s">
        <v>75</v>
      </c>
      <c r="B110" s="622" t="s">
        <v>469</v>
      </c>
      <c r="C110" s="622"/>
      <c r="D110" s="622"/>
      <c r="E110" s="622"/>
      <c r="F110" s="622"/>
      <c r="G110" s="622"/>
      <c r="H110" s="622"/>
      <c r="I110" s="622"/>
      <c r="J110" s="622"/>
      <c r="K110" s="622"/>
      <c r="L110" s="623"/>
      <c r="M110" s="623"/>
      <c r="N110" s="623"/>
      <c r="O110" s="623"/>
      <c r="P110" s="623"/>
      <c r="Q110" s="623"/>
      <c r="R110" s="623"/>
      <c r="S110" s="623"/>
      <c r="T110" s="623"/>
      <c r="U110" s="623"/>
      <c r="V110" s="623"/>
    </row>
    <row r="111" spans="1:22" s="621" customFormat="1" x14ac:dyDescent="0.3">
      <c r="A111" s="622" t="s">
        <v>76</v>
      </c>
      <c r="B111" s="622" t="s">
        <v>469</v>
      </c>
      <c r="C111" s="622"/>
      <c r="D111" s="622"/>
      <c r="E111" s="622"/>
      <c r="F111" s="622"/>
      <c r="G111" s="622"/>
      <c r="H111" s="622"/>
      <c r="I111" s="622"/>
      <c r="J111" s="622"/>
      <c r="K111" s="622"/>
      <c r="L111" s="623"/>
      <c r="M111" s="623"/>
      <c r="N111" s="623"/>
      <c r="O111" s="623"/>
      <c r="P111" s="623"/>
      <c r="Q111" s="623"/>
      <c r="R111" s="623"/>
      <c r="S111" s="623"/>
      <c r="T111" s="623"/>
      <c r="U111" s="623"/>
      <c r="V111" s="623"/>
    </row>
    <row r="112" spans="1:22" s="621" customFormat="1" x14ac:dyDescent="0.3">
      <c r="A112" s="622" t="s">
        <v>77</v>
      </c>
      <c r="B112" s="622" t="s">
        <v>469</v>
      </c>
      <c r="C112" s="622"/>
      <c r="D112" s="622"/>
      <c r="E112" s="622"/>
      <c r="F112" s="622"/>
      <c r="G112" s="622"/>
      <c r="H112" s="622"/>
      <c r="I112" s="622"/>
      <c r="J112" s="622"/>
      <c r="K112" s="622"/>
      <c r="L112" s="623"/>
      <c r="M112" s="623"/>
      <c r="N112" s="623"/>
      <c r="O112" s="623"/>
      <c r="P112" s="623"/>
      <c r="Q112" s="623"/>
      <c r="R112" s="623"/>
      <c r="S112" s="623"/>
      <c r="T112" s="623"/>
      <c r="U112" s="623"/>
      <c r="V112" s="623"/>
    </row>
    <row r="113" spans="1:22" x14ac:dyDescent="0.3">
      <c r="A113" s="622" t="s">
        <v>78</v>
      </c>
      <c r="B113" s="622" t="s">
        <v>469</v>
      </c>
      <c r="C113" s="374"/>
      <c r="D113" s="374"/>
      <c r="E113" s="374"/>
      <c r="F113" s="374"/>
      <c r="G113" s="374"/>
      <c r="H113" s="374"/>
      <c r="I113" s="374"/>
      <c r="J113" s="374"/>
      <c r="K113" s="374"/>
      <c r="L113" s="306"/>
      <c r="M113" s="306"/>
      <c r="N113" s="306"/>
      <c r="O113" s="306"/>
      <c r="P113" s="306"/>
      <c r="Q113" s="306"/>
      <c r="R113" s="306"/>
      <c r="S113" s="306"/>
      <c r="T113" s="306"/>
      <c r="U113" s="306"/>
      <c r="V113" s="306"/>
    </row>
    <row r="114" spans="1:22" x14ac:dyDescent="0.3">
      <c r="A114" s="374"/>
      <c r="B114" s="622"/>
      <c r="C114" s="374"/>
      <c r="D114" s="374"/>
      <c r="E114" s="374"/>
      <c r="F114" s="374"/>
      <c r="G114" s="374"/>
      <c r="H114" s="374"/>
      <c r="I114" s="374"/>
      <c r="J114" s="374"/>
      <c r="K114" s="374"/>
      <c r="L114" s="306"/>
      <c r="M114" s="306"/>
      <c r="N114" s="306"/>
      <c r="O114" s="306"/>
      <c r="P114" s="306"/>
      <c r="Q114" s="306"/>
      <c r="R114" s="306"/>
      <c r="S114" s="306"/>
      <c r="T114" s="306"/>
      <c r="U114" s="306"/>
      <c r="V114" s="306"/>
    </row>
    <row r="115" spans="1:22" x14ac:dyDescent="0.3">
      <c r="A115" s="342" t="s">
        <v>213</v>
      </c>
      <c r="B115" s="374"/>
      <c r="C115" s="374"/>
      <c r="D115" s="374"/>
      <c r="E115" s="374"/>
      <c r="F115" s="374"/>
      <c r="G115" s="374"/>
      <c r="H115" s="374"/>
      <c r="I115" s="374"/>
      <c r="J115" s="374"/>
      <c r="K115" s="374"/>
      <c r="L115" s="306"/>
      <c r="M115" s="306"/>
      <c r="N115" s="306"/>
      <c r="O115" s="306"/>
      <c r="P115" s="306"/>
      <c r="Q115" s="306"/>
      <c r="R115" s="306"/>
      <c r="S115" s="306"/>
      <c r="T115" s="306"/>
      <c r="U115" s="306"/>
      <c r="V115" s="306"/>
    </row>
    <row r="116" spans="1:22" x14ac:dyDescent="0.3">
      <c r="A116" s="374" t="s">
        <v>73</v>
      </c>
      <c r="B116" s="622" t="s">
        <v>468</v>
      </c>
      <c r="C116" s="374"/>
      <c r="D116" s="374"/>
      <c r="E116" s="374"/>
      <c r="F116" s="374"/>
      <c r="G116" s="374"/>
      <c r="H116" s="374"/>
      <c r="I116" s="374"/>
      <c r="J116" s="374"/>
      <c r="K116" s="374"/>
    </row>
    <row r="117" spans="1:22" x14ac:dyDescent="0.3">
      <c r="A117" s="374" t="s">
        <v>74</v>
      </c>
      <c r="B117" s="622" t="s">
        <v>468</v>
      </c>
      <c r="C117" s="374"/>
      <c r="D117" s="374"/>
      <c r="E117" s="374"/>
      <c r="F117" s="374"/>
      <c r="G117" s="374"/>
      <c r="H117" s="374"/>
      <c r="I117" s="374"/>
      <c r="J117" s="374"/>
      <c r="K117" s="374"/>
    </row>
    <row r="118" spans="1:22" x14ac:dyDescent="0.3">
      <c r="A118" s="374" t="s">
        <v>75</v>
      </c>
      <c r="B118" s="622" t="s">
        <v>468</v>
      </c>
      <c r="C118" s="374"/>
      <c r="D118" s="374"/>
      <c r="E118" s="374"/>
      <c r="F118" s="374"/>
      <c r="G118" s="374"/>
      <c r="H118" s="374"/>
      <c r="I118" s="374"/>
      <c r="J118" s="374"/>
      <c r="K118" s="374"/>
    </row>
    <row r="119" spans="1:22" x14ac:dyDescent="0.3">
      <c r="A119" s="374" t="s">
        <v>76</v>
      </c>
      <c r="B119" s="622" t="s">
        <v>468</v>
      </c>
      <c r="C119" s="374"/>
      <c r="D119" s="374"/>
      <c r="E119" s="374"/>
      <c r="F119" s="374"/>
      <c r="G119" s="374"/>
      <c r="H119" s="374"/>
      <c r="I119" s="374"/>
      <c r="J119" s="374"/>
      <c r="K119" s="374"/>
    </row>
    <row r="120" spans="1:22" x14ac:dyDescent="0.3">
      <c r="A120" s="374" t="s">
        <v>77</v>
      </c>
      <c r="B120" s="622" t="s">
        <v>468</v>
      </c>
      <c r="C120" s="374"/>
      <c r="D120" s="374"/>
      <c r="E120" s="374"/>
      <c r="F120" s="374"/>
      <c r="G120" s="374"/>
      <c r="H120" s="374"/>
      <c r="I120" s="374"/>
      <c r="J120" s="374"/>
      <c r="K120" s="374"/>
    </row>
    <row r="121" spans="1:22" x14ac:dyDescent="0.3">
      <c r="A121" s="374" t="s">
        <v>78</v>
      </c>
      <c r="B121" s="622" t="s">
        <v>468</v>
      </c>
      <c r="C121" s="374"/>
      <c r="D121" s="374"/>
      <c r="E121" s="374"/>
      <c r="F121" s="374"/>
      <c r="G121" s="374"/>
      <c r="H121" s="374"/>
      <c r="I121" s="374"/>
      <c r="J121" s="374"/>
      <c r="K121" s="374"/>
    </row>
    <row r="122" spans="1:22" x14ac:dyDescent="0.3">
      <c r="A122" s="374"/>
      <c r="B122" s="374"/>
      <c r="C122" s="374"/>
      <c r="D122" s="374"/>
      <c r="E122" s="374"/>
      <c r="F122" s="374"/>
      <c r="G122" s="374"/>
      <c r="H122" s="374"/>
      <c r="I122" s="374"/>
      <c r="J122" s="374"/>
      <c r="K122" s="374"/>
    </row>
    <row r="123" spans="1:22" x14ac:dyDescent="0.3">
      <c r="A123" s="374"/>
      <c r="B123" s="374"/>
      <c r="C123" s="374"/>
      <c r="D123" s="374"/>
      <c r="E123" s="374"/>
      <c r="F123" s="374"/>
      <c r="G123" s="374"/>
      <c r="H123" s="374"/>
      <c r="I123" s="374"/>
      <c r="J123" s="374"/>
      <c r="K123" s="374"/>
    </row>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zoomScale="70" zoomScaleNormal="70" zoomScalePageLayoutView="70" workbookViewId="0">
      <selection activeCell="A9" sqref="A9"/>
    </sheetView>
  </sheetViews>
  <sheetFormatPr defaultColWidth="8.88671875" defaultRowHeight="14.4" x14ac:dyDescent="0.3"/>
  <sheetData>
    <row r="1" spans="1:3" x14ac:dyDescent="0.25">
      <c r="A1" s="59" t="s">
        <v>163</v>
      </c>
    </row>
    <row r="3" spans="1:3" s="263" customFormat="1" x14ac:dyDescent="0.25">
      <c r="A3" s="183" t="s">
        <v>149</v>
      </c>
    </row>
    <row r="4" spans="1:3" s="263" customFormat="1" x14ac:dyDescent="0.25">
      <c r="A4" s="263">
        <v>1.9</v>
      </c>
      <c r="B4" s="263" t="s">
        <v>219</v>
      </c>
    </row>
    <row r="5" spans="1:3" s="263" customFormat="1" x14ac:dyDescent="0.25">
      <c r="B5" s="263" t="s">
        <v>185</v>
      </c>
    </row>
    <row r="7" spans="1:3" x14ac:dyDescent="0.25">
      <c r="A7" s="396" t="s">
        <v>213</v>
      </c>
    </row>
    <row r="8" spans="1:3" x14ac:dyDescent="0.25">
      <c r="A8">
        <v>1.9</v>
      </c>
      <c r="B8" t="s">
        <v>471</v>
      </c>
    </row>
    <row r="11" spans="1:3" x14ac:dyDescent="0.25">
      <c r="A11" s="396"/>
      <c r="B11" s="394"/>
      <c r="C11" s="394"/>
    </row>
    <row r="12" spans="1:3" x14ac:dyDescent="0.25">
      <c r="A12" s="394"/>
      <c r="B12" s="395"/>
      <c r="C12" s="397"/>
    </row>
    <row r="13" spans="1:3" x14ac:dyDescent="0.25">
      <c r="A13" s="394"/>
      <c r="B13" s="394"/>
      <c r="C13" s="394"/>
    </row>
    <row r="14" spans="1:3" x14ac:dyDescent="0.25">
      <c r="B14" s="394"/>
      <c r="C14" s="394"/>
    </row>
    <row r="15" spans="1:3" x14ac:dyDescent="0.25">
      <c r="A15" s="394"/>
      <c r="B15" s="395"/>
      <c r="C15" s="394"/>
    </row>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H21"/>
  <sheetViews>
    <sheetView zoomScale="70" zoomScaleNormal="70" zoomScalePageLayoutView="70" workbookViewId="0">
      <selection activeCell="R47" sqref="R47"/>
    </sheetView>
  </sheetViews>
  <sheetFormatPr defaultColWidth="8.88671875" defaultRowHeight="14.4" x14ac:dyDescent="0.3"/>
  <cols>
    <col min="1" max="1" width="7" customWidth="1"/>
    <col min="3" max="3" width="14.33203125" customWidth="1"/>
    <col min="4" max="4" width="7.44140625" customWidth="1"/>
    <col min="5" max="5" width="13.44140625" bestFit="1" customWidth="1"/>
    <col min="6" max="6" width="17" customWidth="1"/>
    <col min="7" max="7" width="19.88671875" customWidth="1"/>
    <col min="8" max="8" width="16.88671875" customWidth="1"/>
  </cols>
  <sheetData>
    <row r="1" spans="1:8" x14ac:dyDescent="0.25">
      <c r="A1" s="439" t="s">
        <v>370</v>
      </c>
    </row>
    <row r="3" spans="1:8" x14ac:dyDescent="0.25">
      <c r="A3" s="59" t="s">
        <v>110</v>
      </c>
      <c r="D3" t="s">
        <v>66</v>
      </c>
      <c r="E3" s="46">
        <v>1</v>
      </c>
      <c r="F3" s="46">
        <v>10</v>
      </c>
      <c r="G3" s="46">
        <v>50</v>
      </c>
      <c r="H3" s="46">
        <v>100</v>
      </c>
    </row>
    <row r="4" spans="1:8" x14ac:dyDescent="0.25">
      <c r="B4">
        <v>2.1</v>
      </c>
      <c r="C4" t="s">
        <v>52</v>
      </c>
      <c r="E4" s="39">
        <f>('CBS (Total)'!J12+'CBS (Total)'!J24+'CBS (Total)'!J29+'CBS (Total)'!J39+'CBS (Total)'!J40+'CBS (Total)'!J18)*E6</f>
        <v>362127.50614730391</v>
      </c>
      <c r="F4" s="39">
        <f>('CBS (Total)'!L12+'CBS (Total)'!L24+'CBS (Total)'!L29+'CBS (Total)'!L39+'CBS (Total)'!L40+'CBS (Total)'!L18)*F6</f>
        <v>1890321.1749357637</v>
      </c>
      <c r="G4" s="39">
        <f>('CBS (Total)'!N12+'CBS (Total)'!N24+'CBS (Total)'!N29+'CBS (Total)'!N39+'CBS (Total)'!N40+'CBS (Total)'!N18)*G6</f>
        <v>3746751.2896837573</v>
      </c>
      <c r="H4" s="39">
        <f>('CBS (Total)'!P12+'CBS (Total)'!P24+'CBS (Total)'!P29+'CBS (Total)'!P39+'CBS (Total)'!P40+'CBS (Total)'!P18)*H6</f>
        <v>3599059.5674896254</v>
      </c>
    </row>
    <row r="6" spans="1:8" x14ac:dyDescent="0.25">
      <c r="C6" t="s">
        <v>362</v>
      </c>
      <c r="E6" s="44">
        <f>C10</f>
        <v>0.02</v>
      </c>
      <c r="F6" s="44">
        <f>C11</f>
        <v>0.02</v>
      </c>
      <c r="G6" s="44">
        <f>C12</f>
        <v>0.01</v>
      </c>
      <c r="H6" s="47">
        <f>C13</f>
        <v>5.0000000000000001E-3</v>
      </c>
    </row>
    <row r="7" spans="1:8" s="489" customFormat="1" x14ac:dyDescent="0.25">
      <c r="E7" s="420"/>
      <c r="F7" s="383"/>
      <c r="G7" s="383"/>
      <c r="H7" s="47"/>
    </row>
    <row r="9" spans="1:8" x14ac:dyDescent="0.25">
      <c r="A9" s="59" t="s">
        <v>82</v>
      </c>
    </row>
    <row r="10" spans="1:8" x14ac:dyDescent="0.25">
      <c r="B10" t="s">
        <v>92</v>
      </c>
      <c r="C10" s="17">
        <v>0.02</v>
      </c>
      <c r="D10" t="s">
        <v>96</v>
      </c>
    </row>
    <row r="11" spans="1:8" x14ac:dyDescent="0.25">
      <c r="B11" t="s">
        <v>93</v>
      </c>
      <c r="C11" s="17">
        <v>0.02</v>
      </c>
    </row>
    <row r="12" spans="1:8" x14ac:dyDescent="0.25">
      <c r="B12" t="s">
        <v>95</v>
      </c>
      <c r="C12" s="17">
        <v>0.01</v>
      </c>
    </row>
    <row r="13" spans="1:8" x14ac:dyDescent="0.25">
      <c r="B13" t="s">
        <v>94</v>
      </c>
      <c r="C13" s="22">
        <v>5.0000000000000001E-3</v>
      </c>
      <c r="D13" t="s">
        <v>97</v>
      </c>
    </row>
    <row r="15" spans="1:8" s="263" customFormat="1" x14ac:dyDescent="0.25">
      <c r="A15" s="183" t="s">
        <v>149</v>
      </c>
    </row>
    <row r="16" spans="1:8" s="263" customFormat="1" x14ac:dyDescent="0.25">
      <c r="A16" s="263">
        <v>2.1</v>
      </c>
      <c r="B16" s="263" t="s">
        <v>220</v>
      </c>
    </row>
    <row r="17" spans="1:2" s="263" customFormat="1" x14ac:dyDescent="0.25">
      <c r="B17" s="263" t="s">
        <v>221</v>
      </c>
    </row>
    <row r="18" spans="1:2" s="263" customFormat="1" x14ac:dyDescent="0.25">
      <c r="B18" s="263" t="s">
        <v>222</v>
      </c>
    </row>
    <row r="19" spans="1:2" s="263" customFormat="1" x14ac:dyDescent="0.25"/>
    <row r="20" spans="1:2" s="263" customFormat="1" x14ac:dyDescent="0.25">
      <c r="A20" s="183" t="s">
        <v>213</v>
      </c>
    </row>
    <row r="21" spans="1:2" s="263" customFormat="1" x14ac:dyDescent="0.25">
      <c r="A21" s="263">
        <v>2.1</v>
      </c>
      <c r="B21" s="263" t="s">
        <v>223</v>
      </c>
    </row>
  </sheetData>
  <pageMargins left="0.7" right="0.7" top="0.75" bottom="0.75" header="0.3" footer="0.3"/>
  <pageSetup orientation="portrait" horizontalDpi="4294967293" verticalDpi="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T25"/>
  <sheetViews>
    <sheetView zoomScale="70" zoomScaleNormal="70" zoomScalePageLayoutView="70" workbookViewId="0">
      <selection activeCell="C30" sqref="C30"/>
    </sheetView>
  </sheetViews>
  <sheetFormatPr defaultColWidth="8.88671875" defaultRowHeight="14.4" x14ac:dyDescent="0.3"/>
  <cols>
    <col min="1" max="1" width="4.109375" customWidth="1"/>
    <col min="2" max="2" width="4.44140625" customWidth="1"/>
    <col min="3" max="3" width="55.44140625" customWidth="1"/>
    <col min="4" max="4" width="14.6640625" customWidth="1"/>
    <col min="5" max="7" width="14.109375" customWidth="1"/>
    <col min="8" max="8" width="15.33203125" customWidth="1"/>
    <col min="9" max="9" width="16.44140625" customWidth="1"/>
    <col min="10" max="10" width="25.44140625" customWidth="1"/>
    <col min="12" max="12" width="8.88671875" style="263"/>
    <col min="13" max="13" width="21.88671875" customWidth="1"/>
    <col min="14" max="14" width="20.44140625" customWidth="1"/>
    <col min="15" max="15" width="14" customWidth="1"/>
  </cols>
  <sheetData>
    <row r="1" spans="1:20" s="489" customFormat="1" ht="15" x14ac:dyDescent="0.25">
      <c r="A1" s="439" t="s">
        <v>371</v>
      </c>
    </row>
    <row r="3" spans="1:20" ht="15" x14ac:dyDescent="0.25">
      <c r="A3" s="59" t="s">
        <v>110</v>
      </c>
      <c r="B3" s="58"/>
      <c r="C3" s="58"/>
      <c r="E3" s="63">
        <v>1</v>
      </c>
      <c r="F3" s="63">
        <v>10</v>
      </c>
      <c r="G3" s="63">
        <v>50</v>
      </c>
      <c r="H3" s="63">
        <v>100</v>
      </c>
    </row>
    <row r="4" spans="1:20" ht="15" x14ac:dyDescent="0.25">
      <c r="A4" s="59"/>
      <c r="B4" s="58">
        <v>2.2000000000000002</v>
      </c>
      <c r="C4" s="58" t="s">
        <v>53</v>
      </c>
      <c r="E4" s="171">
        <f>E17</f>
        <v>855000</v>
      </c>
      <c r="F4" s="188">
        <f>F17</f>
        <v>1266000</v>
      </c>
      <c r="G4" s="188">
        <f>G17</f>
        <v>1266000</v>
      </c>
      <c r="H4" s="171">
        <f>G17</f>
        <v>1266000</v>
      </c>
    </row>
    <row r="6" spans="1:20" ht="15" x14ac:dyDescent="0.25">
      <c r="H6" s="186"/>
      <c r="I6" s="186"/>
      <c r="J6" s="221"/>
      <c r="K6" s="221"/>
      <c r="L6" s="221"/>
      <c r="M6" s="221"/>
      <c r="N6" s="221"/>
      <c r="O6" s="186"/>
      <c r="P6" s="186"/>
      <c r="Q6" s="186"/>
      <c r="R6" s="186"/>
      <c r="S6" s="186"/>
      <c r="T6" s="186"/>
    </row>
    <row r="7" spans="1:20" ht="15" x14ac:dyDescent="0.25">
      <c r="H7" s="186"/>
      <c r="I7" s="186"/>
      <c r="J7" s="186"/>
      <c r="K7" s="221"/>
      <c r="L7" s="221"/>
      <c r="M7" s="221"/>
      <c r="N7" s="221"/>
      <c r="O7" s="186"/>
      <c r="P7" s="186"/>
      <c r="Q7" s="186"/>
      <c r="R7" s="186"/>
      <c r="S7" s="186"/>
      <c r="T7" s="186"/>
    </row>
    <row r="8" spans="1:20" ht="15" customHeight="1" x14ac:dyDescent="0.25">
      <c r="A8" s="169" t="s">
        <v>228</v>
      </c>
      <c r="C8" s="170"/>
      <c r="D8" s="185"/>
      <c r="E8" s="185" t="s">
        <v>85</v>
      </c>
      <c r="F8" s="199" t="s">
        <v>88</v>
      </c>
      <c r="G8" s="285" t="s">
        <v>224</v>
      </c>
      <c r="H8" s="280"/>
      <c r="I8" s="278"/>
      <c r="J8" s="1001"/>
      <c r="K8" s="1001"/>
      <c r="L8" s="1001"/>
      <c r="M8" s="186"/>
      <c r="N8" s="186"/>
      <c r="O8" s="186"/>
      <c r="P8" s="186"/>
      <c r="Q8" s="186"/>
    </row>
    <row r="9" spans="1:20" ht="15" x14ac:dyDescent="0.25">
      <c r="A9" s="183"/>
      <c r="B9" s="52"/>
      <c r="C9" s="55"/>
      <c r="E9" s="263"/>
      <c r="F9" s="275"/>
      <c r="G9" s="279"/>
      <c r="H9" s="279"/>
      <c r="I9" s="273"/>
      <c r="J9" s="1002"/>
      <c r="K9" s="1002"/>
      <c r="L9" s="1002"/>
      <c r="M9" s="186"/>
      <c r="N9" s="186"/>
      <c r="O9" s="186"/>
      <c r="P9" s="186"/>
      <c r="Q9" s="186"/>
    </row>
    <row r="10" spans="1:20" ht="15" customHeight="1" x14ac:dyDescent="0.25">
      <c r="A10" s="183"/>
      <c r="B10" s="52"/>
      <c r="C10" s="388" t="s">
        <v>241</v>
      </c>
      <c r="D10" s="64"/>
      <c r="E10" s="64">
        <f>'1.1'!F40</f>
        <v>362500</v>
      </c>
      <c r="F10" s="420">
        <f>E10</f>
        <v>362500</v>
      </c>
      <c r="G10" s="420">
        <f>E10</f>
        <v>362500</v>
      </c>
      <c r="H10" s="276"/>
      <c r="I10" s="276"/>
      <c r="J10" s="277"/>
      <c r="K10" s="277"/>
      <c r="L10" s="276"/>
      <c r="M10" s="186"/>
      <c r="N10" s="186"/>
      <c r="O10" s="186"/>
      <c r="P10" s="186"/>
      <c r="Q10" s="186"/>
    </row>
    <row r="11" spans="1:20" ht="15" x14ac:dyDescent="0.25">
      <c r="A11" s="183"/>
      <c r="B11" s="52"/>
      <c r="C11" s="388" t="s">
        <v>242</v>
      </c>
      <c r="D11" s="64"/>
      <c r="E11" s="64">
        <f>'1.1'!F41</f>
        <v>0</v>
      </c>
      <c r="F11" s="420">
        <f t="shared" ref="F11:F14" si="0">E11</f>
        <v>0</v>
      </c>
      <c r="G11" s="420">
        <f t="shared" ref="G11:G14" si="1">E11</f>
        <v>0</v>
      </c>
      <c r="H11" s="276"/>
      <c r="I11" s="276"/>
      <c r="J11" s="276"/>
      <c r="K11" s="29"/>
      <c r="L11" s="48"/>
      <c r="M11" s="186"/>
      <c r="N11" s="186"/>
      <c r="O11" s="186"/>
      <c r="P11" s="186"/>
      <c r="Q11" s="186"/>
    </row>
    <row r="12" spans="1:20" ht="15" x14ac:dyDescent="0.25">
      <c r="A12" s="183"/>
      <c r="B12" s="52"/>
      <c r="C12" s="388" t="s">
        <v>238</v>
      </c>
      <c r="D12" s="64"/>
      <c r="E12" s="64">
        <f>'1.1'!F42</f>
        <v>200000</v>
      </c>
      <c r="F12" s="420">
        <f t="shared" si="0"/>
        <v>200000</v>
      </c>
      <c r="G12" s="420">
        <f t="shared" si="1"/>
        <v>200000</v>
      </c>
      <c r="H12" s="276"/>
      <c r="I12" s="276"/>
      <c r="J12" s="276"/>
      <c r="K12" s="29"/>
      <c r="L12" s="48"/>
      <c r="M12" s="186"/>
      <c r="N12" s="186"/>
      <c r="O12" s="186"/>
      <c r="P12" s="186"/>
      <c r="Q12" s="186"/>
    </row>
    <row r="13" spans="1:20" s="378" customFormat="1" ht="15" x14ac:dyDescent="0.25">
      <c r="A13" s="382"/>
      <c r="B13" s="387"/>
      <c r="C13" s="388" t="s">
        <v>243</v>
      </c>
      <c r="D13" s="380"/>
      <c r="E13" s="380">
        <f>'1.1'!F43</f>
        <v>225000</v>
      </c>
      <c r="F13" s="420">
        <f t="shared" si="0"/>
        <v>225000</v>
      </c>
      <c r="G13" s="420">
        <f t="shared" si="1"/>
        <v>225000</v>
      </c>
      <c r="H13" s="368"/>
      <c r="I13" s="368"/>
      <c r="J13" s="368"/>
      <c r="K13" s="386"/>
      <c r="L13" s="385"/>
      <c r="M13" s="384"/>
      <c r="N13" s="384"/>
      <c r="O13" s="384"/>
      <c r="P13" s="384"/>
      <c r="Q13" s="384"/>
    </row>
    <row r="14" spans="1:20" ht="15" x14ac:dyDescent="0.25">
      <c r="A14" s="183"/>
      <c r="B14" s="52"/>
      <c r="C14" s="388" t="s">
        <v>244</v>
      </c>
      <c r="D14" s="64"/>
      <c r="E14" s="64">
        <f>'1.1'!F44</f>
        <v>67500</v>
      </c>
      <c r="F14" s="420">
        <f t="shared" si="0"/>
        <v>67500</v>
      </c>
      <c r="G14" s="420">
        <f t="shared" si="1"/>
        <v>67500</v>
      </c>
      <c r="H14" s="276"/>
      <c r="I14" s="276"/>
      <c r="J14" s="276"/>
      <c r="K14" s="29"/>
      <c r="L14" s="48"/>
      <c r="M14" s="186"/>
      <c r="N14" s="186"/>
      <c r="O14" s="186"/>
      <c r="P14" s="186"/>
      <c r="Q14" s="186"/>
    </row>
    <row r="15" spans="1:20" s="263" customFormat="1" ht="15" x14ac:dyDescent="0.25">
      <c r="A15" s="183"/>
      <c r="B15" s="52"/>
      <c r="C15" s="388" t="s">
        <v>227</v>
      </c>
      <c r="D15" s="64"/>
      <c r="E15" s="64"/>
      <c r="F15" s="380">
        <f>411000</f>
        <v>411000</v>
      </c>
      <c r="G15" s="420">
        <f>411000</f>
        <v>411000</v>
      </c>
      <c r="H15" s="276"/>
      <c r="I15" s="276"/>
      <c r="J15" s="276"/>
      <c r="K15" s="29"/>
      <c r="L15" s="48"/>
      <c r="M15" s="186"/>
      <c r="N15" s="186"/>
      <c r="O15" s="186"/>
      <c r="P15" s="186"/>
      <c r="Q15" s="186"/>
    </row>
    <row r="16" spans="1:20" s="263" customFormat="1" ht="15.75" x14ac:dyDescent="0.25">
      <c r="A16" s="183"/>
      <c r="B16" s="52"/>
      <c r="C16" s="274"/>
      <c r="D16" s="64"/>
      <c r="E16" s="64"/>
      <c r="F16" s="275"/>
      <c r="G16" s="277"/>
      <c r="H16" s="276"/>
      <c r="I16" s="276"/>
      <c r="J16" s="276"/>
      <c r="K16" s="29"/>
      <c r="L16" s="48"/>
      <c r="M16" s="186"/>
      <c r="N16" s="186"/>
      <c r="O16" s="186"/>
      <c r="P16" s="186"/>
      <c r="Q16" s="186"/>
    </row>
    <row r="17" spans="1:20" s="263" customFormat="1" ht="15" x14ac:dyDescent="0.25">
      <c r="A17" s="183"/>
      <c r="B17" s="38"/>
      <c r="C17" s="286" t="s">
        <v>81</v>
      </c>
      <c r="D17" s="179"/>
      <c r="E17" s="179">
        <f>SUM(E10:E15)</f>
        <v>855000</v>
      </c>
      <c r="F17" s="179">
        <f>SUM(F10:F15)</f>
        <v>1266000</v>
      </c>
      <c r="G17" s="179">
        <f>SUM(G10:G15)</f>
        <v>1266000</v>
      </c>
      <c r="H17" s="29"/>
      <c r="I17" s="29"/>
      <c r="J17" s="29"/>
      <c r="K17" s="29"/>
      <c r="L17" s="48"/>
      <c r="M17" s="186"/>
      <c r="N17" s="186"/>
      <c r="O17" s="186"/>
      <c r="P17" s="186"/>
      <c r="Q17" s="186"/>
    </row>
    <row r="18" spans="1:20" s="263" customFormat="1" ht="15" x14ac:dyDescent="0.25">
      <c r="A18" s="183"/>
      <c r="B18" s="38"/>
      <c r="C18" s="53"/>
      <c r="E18" s="275"/>
      <c r="F18" s="275"/>
      <c r="G18" s="354"/>
      <c r="H18" s="275"/>
      <c r="I18" s="29"/>
      <c r="J18" s="29"/>
      <c r="K18" s="29"/>
      <c r="L18" s="29"/>
      <c r="M18" s="29"/>
      <c r="N18" s="29"/>
      <c r="O18" s="48"/>
      <c r="P18" s="186"/>
      <c r="Q18" s="186"/>
      <c r="R18" s="186"/>
      <c r="S18" s="186"/>
      <c r="T18" s="186"/>
    </row>
    <row r="19" spans="1:20" ht="15" x14ac:dyDescent="0.25">
      <c r="A19" s="183" t="s">
        <v>149</v>
      </c>
      <c r="B19" s="263"/>
      <c r="C19" s="263"/>
      <c r="H19" s="186"/>
      <c r="I19" s="186"/>
      <c r="J19" s="186"/>
      <c r="K19" s="186"/>
      <c r="L19" s="186"/>
      <c r="M19" s="186"/>
      <c r="N19" s="186"/>
      <c r="O19" s="186"/>
      <c r="P19" s="186"/>
      <c r="Q19" s="186"/>
      <c r="R19" s="186"/>
      <c r="S19" s="186"/>
      <c r="T19" s="186"/>
    </row>
    <row r="20" spans="1:20" ht="15" x14ac:dyDescent="0.25">
      <c r="A20" s="263"/>
      <c r="B20" s="38">
        <v>2.2000000000000002</v>
      </c>
      <c r="C20" s="221" t="s">
        <v>799</v>
      </c>
      <c r="H20" s="186"/>
      <c r="I20" s="186"/>
      <c r="J20" s="186"/>
      <c r="K20" s="186"/>
      <c r="L20" s="186"/>
      <c r="M20" s="186"/>
      <c r="N20" s="186"/>
      <c r="O20" s="186"/>
      <c r="P20" s="186"/>
      <c r="Q20" s="186"/>
      <c r="R20" s="186"/>
      <c r="S20" s="186"/>
      <c r="T20" s="186"/>
    </row>
    <row r="21" spans="1:20" s="263" customFormat="1" ht="15" x14ac:dyDescent="0.25"/>
    <row r="22" spans="1:20" ht="15" x14ac:dyDescent="0.25">
      <c r="A22" s="183" t="s">
        <v>213</v>
      </c>
      <c r="B22" s="263"/>
      <c r="C22" s="263"/>
    </row>
    <row r="23" spans="1:20" ht="15" x14ac:dyDescent="0.25">
      <c r="B23" s="38">
        <v>2.2000000000000002</v>
      </c>
      <c r="C23" s="263" t="s">
        <v>800</v>
      </c>
    </row>
    <row r="24" spans="1:20" ht="15" x14ac:dyDescent="0.25">
      <c r="C24" t="s">
        <v>801</v>
      </c>
    </row>
    <row r="25" spans="1:20" ht="15" x14ac:dyDescent="0.25">
      <c r="C25" t="s">
        <v>802</v>
      </c>
    </row>
  </sheetData>
  <mergeCells count="2">
    <mergeCell ref="J8:L8"/>
    <mergeCell ref="J9:L9"/>
  </mergeCells>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I81"/>
  <sheetViews>
    <sheetView zoomScale="80" zoomScaleNormal="80" zoomScalePageLayoutView="70" workbookViewId="0">
      <selection activeCell="D18" sqref="D18"/>
    </sheetView>
  </sheetViews>
  <sheetFormatPr defaultColWidth="8.88671875" defaultRowHeight="14.4" x14ac:dyDescent="0.3"/>
  <cols>
    <col min="1" max="1" width="5.109375" customWidth="1"/>
    <col min="2" max="2" width="3.6640625" style="489" customWidth="1"/>
    <col min="3" max="3" width="37.44140625" customWidth="1"/>
    <col min="4" max="4" width="31.6640625" customWidth="1"/>
    <col min="5" max="5" width="18" bestFit="1" customWidth="1"/>
    <col min="6" max="7" width="14.44140625" customWidth="1"/>
    <col min="8" max="8" width="17.109375" customWidth="1"/>
    <col min="9" max="9" width="20.109375" customWidth="1"/>
    <col min="12" max="12" width="17.33203125" customWidth="1"/>
    <col min="13" max="13" width="25.6640625" customWidth="1"/>
    <col min="14" max="14" width="22.33203125" customWidth="1"/>
  </cols>
  <sheetData>
    <row r="1" spans="1:9" s="489" customFormat="1" ht="15" x14ac:dyDescent="0.25">
      <c r="A1" s="439" t="s">
        <v>372</v>
      </c>
      <c r="B1" s="439"/>
    </row>
    <row r="2" spans="1:9" s="58" customFormat="1" ht="15" x14ac:dyDescent="0.25">
      <c r="B2" s="489"/>
    </row>
    <row r="3" spans="1:9" s="58" customFormat="1" ht="15" x14ac:dyDescent="0.25">
      <c r="A3" s="59" t="s">
        <v>110</v>
      </c>
      <c r="B3" s="439"/>
    </row>
    <row r="4" spans="1:9" s="58" customFormat="1" ht="15" x14ac:dyDescent="0.25">
      <c r="B4" s="489"/>
      <c r="E4" s="58" t="s">
        <v>66</v>
      </c>
      <c r="F4" s="58">
        <v>1</v>
      </c>
      <c r="G4" s="58">
        <v>10</v>
      </c>
      <c r="H4" s="58">
        <v>50</v>
      </c>
      <c r="I4" s="58">
        <v>100</v>
      </c>
    </row>
    <row r="5" spans="1:9" ht="15" x14ac:dyDescent="0.25">
      <c r="C5">
        <v>2.2999999999999998</v>
      </c>
      <c r="D5" t="s">
        <v>54</v>
      </c>
      <c r="F5" s="41">
        <f>D73</f>
        <v>31356.666666666668</v>
      </c>
      <c r="G5" s="474">
        <f t="shared" ref="G5:I5" si="0">E73</f>
        <v>313566.66666666669</v>
      </c>
      <c r="H5" s="474">
        <f t="shared" si="0"/>
        <v>541966.66666666674</v>
      </c>
      <c r="I5" s="474">
        <f t="shared" si="0"/>
        <v>1083933.3333333335</v>
      </c>
    </row>
    <row r="6" spans="1:9" s="489" customFormat="1" ht="15" x14ac:dyDescent="0.25">
      <c r="F6" s="474"/>
      <c r="G6" s="474"/>
      <c r="H6" s="474"/>
      <c r="I6" s="474"/>
    </row>
    <row r="8" spans="1:9" s="489" customFormat="1" ht="15" x14ac:dyDescent="0.25">
      <c r="A8" s="439"/>
      <c r="B8" s="439"/>
    </row>
    <row r="9" spans="1:9" s="489" customFormat="1" ht="15" x14ac:dyDescent="0.25">
      <c r="A9" s="439" t="s">
        <v>404</v>
      </c>
      <c r="B9" s="439"/>
    </row>
    <row r="10" spans="1:9" s="489" customFormat="1" ht="15" x14ac:dyDescent="0.25">
      <c r="D10" s="419"/>
    </row>
    <row r="11" spans="1:9" s="489" customFormat="1" ht="15" x14ac:dyDescent="0.25">
      <c r="C11" s="489" t="s">
        <v>400</v>
      </c>
      <c r="D11" s="82">
        <f>8000</f>
        <v>8000</v>
      </c>
      <c r="E11" s="768"/>
    </row>
    <row r="12" spans="1:9" s="489" customFormat="1" ht="15" x14ac:dyDescent="0.25">
      <c r="C12" s="489" t="s">
        <v>401</v>
      </c>
      <c r="D12" s="82">
        <v>3000</v>
      </c>
    </row>
    <row r="13" spans="1:9" s="489" customFormat="1" ht="15" x14ac:dyDescent="0.25">
      <c r="C13" s="489" t="s">
        <v>402</v>
      </c>
      <c r="D13" s="82">
        <v>3000</v>
      </c>
    </row>
    <row r="14" spans="1:9" s="489" customFormat="1" ht="15" x14ac:dyDescent="0.25">
      <c r="C14" s="489" t="s">
        <v>377</v>
      </c>
      <c r="D14" s="82">
        <v>800</v>
      </c>
    </row>
    <row r="15" spans="1:9" s="489" customFormat="1" ht="15" x14ac:dyDescent="0.25">
      <c r="C15" s="489" t="s">
        <v>403</v>
      </c>
      <c r="D15" s="82">
        <f>1500</f>
        <v>1500</v>
      </c>
    </row>
    <row r="16" spans="1:9" s="489" customFormat="1" ht="15" x14ac:dyDescent="0.25">
      <c r="D16" s="82"/>
    </row>
    <row r="17" spans="1:5" s="489" customFormat="1" ht="15" x14ac:dyDescent="0.25">
      <c r="C17" s="298" t="s">
        <v>81</v>
      </c>
      <c r="D17" s="593">
        <f>SUM(D11:D15)*2</f>
        <v>32600</v>
      </c>
      <c r="E17" s="489" t="s">
        <v>885</v>
      </c>
    </row>
    <row r="18" spans="1:5" s="489" customFormat="1" ht="15" x14ac:dyDescent="0.25">
      <c r="D18" s="419"/>
    </row>
    <row r="19" spans="1:5" s="489" customFormat="1" ht="17.25" customHeight="1" x14ac:dyDescent="0.25">
      <c r="A19" s="439" t="s">
        <v>405</v>
      </c>
      <c r="B19" s="439"/>
      <c r="D19" s="419"/>
    </row>
    <row r="20" spans="1:5" s="489" customFormat="1" ht="15" x14ac:dyDescent="0.25">
      <c r="D20" s="419"/>
    </row>
    <row r="21" spans="1:5" s="489" customFormat="1" ht="15" x14ac:dyDescent="0.25">
      <c r="C21" s="489" t="s">
        <v>400</v>
      </c>
      <c r="D21" s="82">
        <v>8000</v>
      </c>
    </row>
    <row r="22" spans="1:5" s="489" customFormat="1" ht="15" x14ac:dyDescent="0.25">
      <c r="C22" s="489" t="s">
        <v>401</v>
      </c>
      <c r="D22" s="82">
        <v>3000</v>
      </c>
    </row>
    <row r="23" spans="1:5" s="489" customFormat="1" ht="15" x14ac:dyDescent="0.25">
      <c r="C23" s="489" t="s">
        <v>377</v>
      </c>
      <c r="D23" s="82">
        <v>800</v>
      </c>
    </row>
    <row r="24" spans="1:5" s="489" customFormat="1" ht="15" x14ac:dyDescent="0.25">
      <c r="C24" s="489" t="s">
        <v>403</v>
      </c>
      <c r="D24" s="82">
        <v>1000</v>
      </c>
    </row>
    <row r="25" spans="1:5" s="489" customFormat="1" ht="15" x14ac:dyDescent="0.25">
      <c r="D25" s="82"/>
    </row>
    <row r="26" spans="1:5" s="489" customFormat="1" ht="15" x14ac:dyDescent="0.25">
      <c r="C26" s="298" t="s">
        <v>81</v>
      </c>
      <c r="D26" s="593">
        <f>SUM(D21:D24)</f>
        <v>12800</v>
      </c>
    </row>
    <row r="27" spans="1:5" s="489" customFormat="1" ht="15" x14ac:dyDescent="0.25">
      <c r="A27" s="439"/>
      <c r="B27" s="439"/>
    </row>
    <row r="28" spans="1:5" s="489" customFormat="1" ht="15" x14ac:dyDescent="0.25">
      <c r="A28" s="439" t="s">
        <v>406</v>
      </c>
      <c r="B28" s="439"/>
    </row>
    <row r="29" spans="1:5" s="489" customFormat="1" ht="15" x14ac:dyDescent="0.25">
      <c r="A29" s="439"/>
      <c r="B29" s="439"/>
      <c r="C29" s="489" t="s">
        <v>407</v>
      </c>
      <c r="D29" s="489">
        <v>10</v>
      </c>
    </row>
    <row r="30" spans="1:5" s="489" customFormat="1" x14ac:dyDescent="0.3">
      <c r="A30" s="439"/>
      <c r="B30" s="439"/>
      <c r="C30" s="489" t="s">
        <v>408</v>
      </c>
      <c r="D30" s="520">
        <v>30</v>
      </c>
    </row>
    <row r="31" spans="1:5" s="489" customFormat="1" x14ac:dyDescent="0.3">
      <c r="A31" s="439"/>
      <c r="B31" s="439"/>
      <c r="C31" s="489" t="s">
        <v>409</v>
      </c>
      <c r="D31" s="489">
        <v>12</v>
      </c>
    </row>
    <row r="32" spans="1:5" s="489" customFormat="1" x14ac:dyDescent="0.3">
      <c r="A32" s="439"/>
      <c r="B32" s="439"/>
      <c r="C32" s="489" t="s">
        <v>424</v>
      </c>
      <c r="D32" s="383">
        <v>0.3</v>
      </c>
    </row>
    <row r="33" spans="1:5" s="489" customFormat="1" x14ac:dyDescent="0.3">
      <c r="A33" s="439"/>
      <c r="B33" s="439"/>
      <c r="C33" s="489" t="s">
        <v>410</v>
      </c>
      <c r="D33" s="413">
        <f>D29*D30*D31*(1+D32)</f>
        <v>4680</v>
      </c>
    </row>
    <row r="34" spans="1:5" s="489" customFormat="1" x14ac:dyDescent="0.3">
      <c r="A34" s="439"/>
      <c r="B34" s="439"/>
      <c r="C34" s="489" t="s">
        <v>403</v>
      </c>
      <c r="D34" s="413">
        <v>1000</v>
      </c>
    </row>
    <row r="35" spans="1:5" s="489" customFormat="1" x14ac:dyDescent="0.3">
      <c r="A35" s="439"/>
      <c r="B35" s="439"/>
    </row>
    <row r="36" spans="1:5" s="489" customFormat="1" x14ac:dyDescent="0.3">
      <c r="A36" s="439"/>
      <c r="B36" s="439"/>
      <c r="C36" s="298" t="s">
        <v>81</v>
      </c>
      <c r="D36" s="179">
        <f>D34+D33</f>
        <v>5680</v>
      </c>
    </row>
    <row r="37" spans="1:5" s="489" customFormat="1" x14ac:dyDescent="0.3">
      <c r="A37" s="439"/>
      <c r="B37" s="439"/>
      <c r="C37" s="490"/>
      <c r="D37" s="594"/>
    </row>
    <row r="38" spans="1:5" s="489" customFormat="1" x14ac:dyDescent="0.3">
      <c r="A38" s="80" t="s">
        <v>789</v>
      </c>
      <c r="B38" s="80"/>
      <c r="C38" s="492"/>
      <c r="D38" s="784" t="s">
        <v>422</v>
      </c>
      <c r="E38" s="90"/>
    </row>
    <row r="39" spans="1:5" s="489" customFormat="1" x14ac:dyDescent="0.3">
      <c r="A39" s="80"/>
      <c r="B39" s="80" t="str">
        <f>'2.5'!B29</f>
        <v>Wells Turbine Assembly</v>
      </c>
      <c r="C39" s="471"/>
      <c r="D39" s="785"/>
    </row>
    <row r="40" spans="1:5" s="489" customFormat="1" x14ac:dyDescent="0.3">
      <c r="A40" s="80"/>
      <c r="B40" s="80"/>
      <c r="C40" s="492" t="str">
        <f>'2.5'!C30</f>
        <v>Rotor Blades</v>
      </c>
      <c r="D40" s="786">
        <f>'2.5'!H12</f>
        <v>0.125</v>
      </c>
    </row>
    <row r="41" spans="1:5" s="489" customFormat="1" x14ac:dyDescent="0.3">
      <c r="A41" s="80"/>
      <c r="B41" s="80"/>
      <c r="C41" s="492" t="str">
        <f>'2.5'!C31</f>
        <v>Bearings</v>
      </c>
      <c r="D41" s="786">
        <f>'2.5'!H13</f>
        <v>0.1</v>
      </c>
    </row>
    <row r="42" spans="1:5" s="489" customFormat="1" x14ac:dyDescent="0.3">
      <c r="A42" s="80"/>
      <c r="B42" s="80"/>
      <c r="C42" s="492" t="str">
        <f>'2.5'!C32</f>
        <v>Flex Couplings</v>
      </c>
      <c r="D42" s="786">
        <f>'2.5'!H14</f>
        <v>0.1</v>
      </c>
    </row>
    <row r="43" spans="1:5" s="489" customFormat="1" x14ac:dyDescent="0.3">
      <c r="A43" s="80"/>
      <c r="B43" s="80" t="str">
        <f>'2.5'!B34</f>
        <v>Electrical Systems</v>
      </c>
      <c r="C43" s="492"/>
      <c r="D43" s="786"/>
    </row>
    <row r="44" spans="1:5" s="489" customFormat="1" x14ac:dyDescent="0.3">
      <c r="A44" s="80"/>
      <c r="B44" s="80"/>
      <c r="C44" s="492" t="str">
        <f>'2.5'!C35</f>
        <v>Generator</v>
      </c>
      <c r="D44" s="786">
        <f>'2.5'!I17</f>
        <v>0.1</v>
      </c>
    </row>
    <row r="45" spans="1:5" s="768" customFormat="1" x14ac:dyDescent="0.3">
      <c r="A45" s="80"/>
      <c r="B45" s="80"/>
      <c r="C45" s="492" t="str">
        <f>'2.5'!C36</f>
        <v>Power Electronics</v>
      </c>
      <c r="D45" s="786">
        <f>'2.5'!I18</f>
        <v>0.13333333333333333</v>
      </c>
    </row>
    <row r="46" spans="1:5" s="489" customFormat="1" x14ac:dyDescent="0.3">
      <c r="A46" s="80"/>
      <c r="B46" s="80"/>
      <c r="C46" s="492"/>
      <c r="D46" s="785"/>
    </row>
    <row r="47" spans="1:5" s="489" customFormat="1" x14ac:dyDescent="0.3">
      <c r="A47" s="80"/>
      <c r="B47" s="102" t="s">
        <v>81</v>
      </c>
      <c r="C47" s="102"/>
      <c r="D47" s="787">
        <f>SUM(D40:D45)</f>
        <v>0.55833333333333335</v>
      </c>
    </row>
    <row r="48" spans="1:5" s="489" customFormat="1" x14ac:dyDescent="0.3">
      <c r="A48" s="439"/>
      <c r="B48" s="439"/>
      <c r="C48" s="490"/>
      <c r="D48" s="594"/>
    </row>
    <row r="49" spans="1:7" s="489" customFormat="1" x14ac:dyDescent="0.3">
      <c r="A49" s="439" t="s">
        <v>418</v>
      </c>
    </row>
    <row r="50" spans="1:7" s="489" customFormat="1" x14ac:dyDescent="0.3">
      <c r="B50" s="489" t="s">
        <v>412</v>
      </c>
      <c r="D50" s="489">
        <v>0.1</v>
      </c>
    </row>
    <row r="51" spans="1:7" s="489" customFormat="1" x14ac:dyDescent="0.3">
      <c r="B51" s="489" t="s">
        <v>413</v>
      </c>
      <c r="D51" s="489">
        <v>0.25</v>
      </c>
    </row>
    <row r="52" spans="1:7" s="489" customFormat="1" x14ac:dyDescent="0.3"/>
    <row r="53" spans="1:7" s="489" customFormat="1" x14ac:dyDescent="0.3">
      <c r="B53" s="489" t="s">
        <v>81</v>
      </c>
      <c r="D53" s="489">
        <f>D50+D51</f>
        <v>0.35</v>
      </c>
    </row>
    <row r="54" spans="1:7" s="489" customFormat="1" x14ac:dyDescent="0.3"/>
    <row r="55" spans="1:7" s="489" customFormat="1" x14ac:dyDescent="0.3">
      <c r="D55" s="489" t="s">
        <v>98</v>
      </c>
      <c r="E55" s="489" t="s">
        <v>88</v>
      </c>
      <c r="F55" s="489" t="s">
        <v>89</v>
      </c>
      <c r="G55" s="489" t="s">
        <v>90</v>
      </c>
    </row>
    <row r="56" spans="1:7" s="489" customFormat="1" x14ac:dyDescent="0.3">
      <c r="B56" s="489" t="s">
        <v>414</v>
      </c>
      <c r="D56" s="489">
        <f>D53*1</f>
        <v>0.35</v>
      </c>
      <c r="E56" s="489">
        <f>D56*10</f>
        <v>3.5</v>
      </c>
      <c r="F56" s="489">
        <f>D56*50</f>
        <v>17.5</v>
      </c>
      <c r="G56" s="489">
        <f>D56*100</f>
        <v>35</v>
      </c>
    </row>
    <row r="57" spans="1:7" s="489" customFormat="1" x14ac:dyDescent="0.3">
      <c r="B57" s="489" t="s">
        <v>399</v>
      </c>
      <c r="D57" s="474">
        <f>D17</f>
        <v>32600</v>
      </c>
      <c r="E57" s="474">
        <f>D17</f>
        <v>32600</v>
      </c>
      <c r="F57" s="474">
        <f>D36</f>
        <v>5680</v>
      </c>
      <c r="G57" s="474">
        <f t="shared" ref="G57" si="1">F57</f>
        <v>5680</v>
      </c>
    </row>
    <row r="58" spans="1:7" s="489" customFormat="1" x14ac:dyDescent="0.3">
      <c r="B58" s="489" t="s">
        <v>415</v>
      </c>
      <c r="D58" s="474">
        <f>D57*D56</f>
        <v>11410</v>
      </c>
      <c r="E58" s="474">
        <f t="shared" ref="E58:G58" si="2">E57*E56</f>
        <v>114100</v>
      </c>
      <c r="F58" s="474">
        <f t="shared" si="2"/>
        <v>99400</v>
      </c>
      <c r="G58" s="474">
        <f t="shared" si="2"/>
        <v>198800</v>
      </c>
    </row>
    <row r="59" spans="1:7" s="489" customFormat="1" x14ac:dyDescent="0.3"/>
    <row r="60" spans="1:7" s="489" customFormat="1" x14ac:dyDescent="0.3">
      <c r="A60" s="439" t="s">
        <v>419</v>
      </c>
    </row>
    <row r="61" spans="1:7" s="489" customFormat="1" x14ac:dyDescent="0.3">
      <c r="B61" s="489" t="s">
        <v>791</v>
      </c>
      <c r="D61" s="489">
        <v>1</v>
      </c>
    </row>
    <row r="62" spans="1:7" s="489" customFormat="1" x14ac:dyDescent="0.3">
      <c r="B62" s="489" t="s">
        <v>411</v>
      </c>
      <c r="D62" s="489">
        <v>0.5</v>
      </c>
    </row>
    <row r="63" spans="1:7" s="489" customFormat="1" x14ac:dyDescent="0.3">
      <c r="B63" s="489" t="s">
        <v>790</v>
      </c>
      <c r="D63" s="489">
        <v>2</v>
      </c>
    </row>
    <row r="64" spans="1:7" s="489" customFormat="1" x14ac:dyDescent="0.3">
      <c r="B64" s="489" t="s">
        <v>420</v>
      </c>
      <c r="D64" s="595">
        <f>D47</f>
        <v>0.55833333333333335</v>
      </c>
    </row>
    <row r="65" spans="1:7" s="489" customFormat="1" x14ac:dyDescent="0.3"/>
    <row r="66" spans="1:7" s="489" customFormat="1" x14ac:dyDescent="0.3">
      <c r="B66" s="489" t="s">
        <v>81</v>
      </c>
      <c r="D66" s="258">
        <f>D61/D63+D62+D64</f>
        <v>1.5583333333333333</v>
      </c>
    </row>
    <row r="67" spans="1:7" s="489" customFormat="1" x14ac:dyDescent="0.3"/>
    <row r="68" spans="1:7" s="489" customFormat="1" x14ac:dyDescent="0.3">
      <c r="D68" s="489" t="s">
        <v>98</v>
      </c>
      <c r="E68" s="489" t="s">
        <v>88</v>
      </c>
      <c r="F68" s="489" t="s">
        <v>89</v>
      </c>
      <c r="G68" s="489" t="s">
        <v>90</v>
      </c>
    </row>
    <row r="69" spans="1:7" s="489" customFormat="1" x14ac:dyDescent="0.3">
      <c r="B69" s="489" t="s">
        <v>417</v>
      </c>
      <c r="D69" s="258">
        <f>D66</f>
        <v>1.5583333333333333</v>
      </c>
      <c r="E69" s="489">
        <f>D69*10</f>
        <v>15.583333333333334</v>
      </c>
      <c r="F69" s="489">
        <f>E69*5</f>
        <v>77.916666666666671</v>
      </c>
      <c r="G69" s="489">
        <f>F69*2</f>
        <v>155.83333333333334</v>
      </c>
    </row>
    <row r="70" spans="1:7" s="489" customFormat="1" x14ac:dyDescent="0.3">
      <c r="B70" s="489" t="s">
        <v>399</v>
      </c>
      <c r="D70" s="474">
        <f>D26</f>
        <v>12800</v>
      </c>
      <c r="E70" s="474">
        <f>D70</f>
        <v>12800</v>
      </c>
      <c r="F70" s="474">
        <f>D36</f>
        <v>5680</v>
      </c>
      <c r="G70" s="474">
        <f t="shared" ref="G70" si="3">F70</f>
        <v>5680</v>
      </c>
    </row>
    <row r="71" spans="1:7" s="489" customFormat="1" x14ac:dyDescent="0.3">
      <c r="B71" s="489" t="s">
        <v>415</v>
      </c>
      <c r="D71" s="474">
        <f>D70*D69</f>
        <v>19946.666666666668</v>
      </c>
      <c r="E71" s="474">
        <f t="shared" ref="E71:G71" si="4">E70*E69</f>
        <v>199466.66666666669</v>
      </c>
      <c r="F71" s="474">
        <f t="shared" si="4"/>
        <v>442566.66666666669</v>
      </c>
      <c r="G71" s="474">
        <f t="shared" si="4"/>
        <v>885133.33333333337</v>
      </c>
    </row>
    <row r="72" spans="1:7" s="489" customFormat="1" x14ac:dyDescent="0.3">
      <c r="D72" s="474"/>
      <c r="E72" s="474"/>
      <c r="F72" s="474"/>
      <c r="G72" s="474"/>
    </row>
    <row r="73" spans="1:7" s="489" customFormat="1" x14ac:dyDescent="0.3">
      <c r="B73" s="298" t="s">
        <v>421</v>
      </c>
      <c r="C73" s="298"/>
      <c r="D73" s="301">
        <f>D71+D58</f>
        <v>31356.666666666668</v>
      </c>
      <c r="E73" s="301">
        <f>E71+E58</f>
        <v>313566.66666666669</v>
      </c>
      <c r="F73" s="301">
        <f>F71+F58</f>
        <v>541966.66666666674</v>
      </c>
      <c r="G73" s="301">
        <f>G71+G58</f>
        <v>1083933.3333333335</v>
      </c>
    </row>
    <row r="74" spans="1:7" s="489" customFormat="1" x14ac:dyDescent="0.3">
      <c r="D74" s="474"/>
      <c r="E74" s="474"/>
      <c r="F74" s="474"/>
      <c r="G74" s="474"/>
    </row>
    <row r="75" spans="1:7" s="489" customFormat="1" x14ac:dyDescent="0.3">
      <c r="D75" s="474"/>
      <c r="E75" s="474"/>
      <c r="F75" s="474"/>
      <c r="G75" s="474"/>
    </row>
    <row r="76" spans="1:7" s="489" customFormat="1" x14ac:dyDescent="0.3">
      <c r="A76" s="439" t="s">
        <v>149</v>
      </c>
      <c r="D76" s="474"/>
      <c r="E76" s="474"/>
      <c r="F76" s="474"/>
      <c r="G76" s="474"/>
    </row>
    <row r="77" spans="1:7" s="489" customFormat="1" x14ac:dyDescent="0.3">
      <c r="A77" s="489">
        <v>2.2999999999999998</v>
      </c>
      <c r="B77" s="489" t="s">
        <v>792</v>
      </c>
      <c r="D77" s="474"/>
      <c r="E77" s="474"/>
      <c r="F77" s="474"/>
      <c r="G77" s="474"/>
    </row>
    <row r="79" spans="1:7" s="489" customFormat="1" x14ac:dyDescent="0.3"/>
    <row r="80" spans="1:7" x14ac:dyDescent="0.3">
      <c r="A80" s="396" t="s">
        <v>213</v>
      </c>
      <c r="B80" s="439"/>
    </row>
    <row r="81" spans="1:2" x14ac:dyDescent="0.3">
      <c r="A81">
        <v>2.2999999999999998</v>
      </c>
      <c r="B81" s="489" t="s">
        <v>285</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S31"/>
  <sheetViews>
    <sheetView zoomScale="70" zoomScaleNormal="70" zoomScalePageLayoutView="70" workbookViewId="0">
      <selection activeCell="C11" sqref="C11"/>
    </sheetView>
  </sheetViews>
  <sheetFormatPr defaultColWidth="8.88671875" defaultRowHeight="14.4" x14ac:dyDescent="0.3"/>
  <cols>
    <col min="1" max="1" width="5.44140625" customWidth="1"/>
    <col min="2" max="2" width="21.44140625" customWidth="1"/>
    <col min="3" max="3" width="16.44140625" customWidth="1"/>
    <col min="4" max="5" width="14" bestFit="1" customWidth="1"/>
    <col min="6" max="6" width="13.44140625" bestFit="1" customWidth="1"/>
    <col min="7" max="7" width="11.44140625" bestFit="1" customWidth="1"/>
    <col min="8" max="8" width="11.109375" bestFit="1" customWidth="1"/>
    <col min="10" max="10" width="8.88671875" style="70"/>
    <col min="15" max="16" width="11.44140625" customWidth="1"/>
    <col min="17" max="17" width="11" customWidth="1"/>
    <col min="18" max="18" width="12.44140625" customWidth="1"/>
  </cols>
  <sheetData>
    <row r="1" spans="1:19" ht="15" x14ac:dyDescent="0.25">
      <c r="A1" s="439" t="s">
        <v>373</v>
      </c>
    </row>
    <row r="2" spans="1:19" s="58" customFormat="1" ht="15" x14ac:dyDescent="0.25">
      <c r="J2" s="70"/>
    </row>
    <row r="3" spans="1:19" s="58" customFormat="1" ht="15" x14ac:dyDescent="0.25">
      <c r="A3" s="59" t="s">
        <v>110</v>
      </c>
      <c r="D3" s="58" t="s">
        <v>66</v>
      </c>
      <c r="E3" s="58">
        <v>1</v>
      </c>
      <c r="F3" s="58">
        <v>10</v>
      </c>
      <c r="G3" s="58">
        <v>50</v>
      </c>
      <c r="H3" s="58">
        <v>100</v>
      </c>
      <c r="J3" s="70"/>
    </row>
    <row r="4" spans="1:19" s="58" customFormat="1" ht="15" x14ac:dyDescent="0.25">
      <c r="B4" s="58">
        <v>2.4</v>
      </c>
      <c r="C4" s="58" t="s">
        <v>55</v>
      </c>
      <c r="E4" s="474">
        <f>R15+C21</f>
        <v>261561</v>
      </c>
      <c r="F4" s="474">
        <f>Q15+C21</f>
        <v>399936</v>
      </c>
      <c r="G4" s="474">
        <f>P15+C21</f>
        <v>454692</v>
      </c>
      <c r="H4" s="474">
        <f>O15+C21</f>
        <v>674634</v>
      </c>
      <c r="J4" s="70"/>
    </row>
    <row r="5" spans="1:19" s="58" customFormat="1" ht="15" x14ac:dyDescent="0.25">
      <c r="J5" s="70"/>
    </row>
    <row r="6" spans="1:19" s="58" customFormat="1" ht="15" x14ac:dyDescent="0.25">
      <c r="J6" s="70"/>
    </row>
    <row r="7" spans="1:19" s="58" customFormat="1" ht="15" x14ac:dyDescent="0.25">
      <c r="A7" s="439" t="s">
        <v>440</v>
      </c>
      <c r="J7" s="70"/>
    </row>
    <row r="8" spans="1:19" ht="15.75" x14ac:dyDescent="0.25">
      <c r="B8" s="551"/>
      <c r="C8" s="552" t="s">
        <v>378</v>
      </c>
      <c r="D8" s="552" t="s">
        <v>379</v>
      </c>
      <c r="E8" s="553"/>
      <c r="F8" s="554"/>
      <c r="G8" s="555" t="s">
        <v>380</v>
      </c>
      <c r="H8" s="556"/>
      <c r="I8" s="557"/>
      <c r="J8" s="556"/>
      <c r="K8" s="558" t="s">
        <v>381</v>
      </c>
      <c r="L8" s="556"/>
      <c r="M8" s="557"/>
      <c r="N8" s="489" t="s">
        <v>382</v>
      </c>
      <c r="O8" s="489" t="s">
        <v>90</v>
      </c>
      <c r="P8" s="489" t="s">
        <v>89</v>
      </c>
      <c r="Q8" s="489" t="s">
        <v>88</v>
      </c>
      <c r="R8" s="489" t="s">
        <v>98</v>
      </c>
    </row>
    <row r="9" spans="1:19" ht="15.75" thickBot="1" x14ac:dyDescent="0.3">
      <c r="A9" s="470"/>
      <c r="B9" s="559"/>
      <c r="C9" s="560" t="s">
        <v>383</v>
      </c>
      <c r="D9" s="560" t="s">
        <v>384</v>
      </c>
      <c r="E9" s="561" t="s">
        <v>81</v>
      </c>
      <c r="F9" s="562" t="s">
        <v>385</v>
      </c>
      <c r="G9" s="563" t="s">
        <v>386</v>
      </c>
      <c r="H9" s="563" t="s">
        <v>387</v>
      </c>
      <c r="I9" s="564" t="s">
        <v>388</v>
      </c>
      <c r="J9" s="565" t="s">
        <v>385</v>
      </c>
      <c r="K9" s="563" t="s">
        <v>386</v>
      </c>
      <c r="L9" s="563" t="s">
        <v>387</v>
      </c>
      <c r="M9" s="564" t="s">
        <v>388</v>
      </c>
      <c r="N9" s="489"/>
      <c r="O9" s="489"/>
      <c r="P9" s="489"/>
      <c r="Q9" s="489"/>
      <c r="R9" s="489"/>
      <c r="S9" s="470"/>
    </row>
    <row r="10" spans="1:19" ht="15.75" thickTop="1" x14ac:dyDescent="0.25">
      <c r="A10" s="470"/>
      <c r="B10" s="566" t="s">
        <v>389</v>
      </c>
      <c r="C10" s="567">
        <v>85000</v>
      </c>
      <c r="D10" s="568">
        <v>35</v>
      </c>
      <c r="E10" s="569">
        <v>114750.00000000001</v>
      </c>
      <c r="F10" s="570">
        <v>1</v>
      </c>
      <c r="G10" s="568">
        <v>1</v>
      </c>
      <c r="H10" s="568">
        <v>1</v>
      </c>
      <c r="I10" s="568">
        <v>1</v>
      </c>
      <c r="J10" s="571">
        <v>114750.00000000001</v>
      </c>
      <c r="K10" s="572">
        <v>114750.00000000001</v>
      </c>
      <c r="L10" s="572">
        <v>114750.00000000001</v>
      </c>
      <c r="M10" s="573">
        <v>114750.00000000001</v>
      </c>
      <c r="N10" s="448">
        <f>AVERAGE(J10:M10)</f>
        <v>114750.00000000001</v>
      </c>
      <c r="O10" s="448">
        <f>N10</f>
        <v>114750.00000000001</v>
      </c>
      <c r="P10" s="448">
        <f>O10</f>
        <v>114750.00000000001</v>
      </c>
      <c r="Q10" s="448">
        <f>P10</f>
        <v>114750.00000000001</v>
      </c>
      <c r="R10" s="448">
        <v>0</v>
      </c>
      <c r="S10" s="470"/>
    </row>
    <row r="11" spans="1:19" ht="15" x14ac:dyDescent="0.25">
      <c r="A11" s="470"/>
      <c r="B11" s="566" t="s">
        <v>390</v>
      </c>
      <c r="C11" s="574">
        <v>35000</v>
      </c>
      <c r="D11" s="575">
        <v>35</v>
      </c>
      <c r="E11" s="569">
        <v>47250</v>
      </c>
      <c r="F11" s="576">
        <v>2</v>
      </c>
      <c r="G11" s="575">
        <v>2</v>
      </c>
      <c r="H11" s="575">
        <v>2</v>
      </c>
      <c r="I11" s="575">
        <v>2</v>
      </c>
      <c r="J11" s="577">
        <v>94500</v>
      </c>
      <c r="K11" s="572">
        <v>94500</v>
      </c>
      <c r="L11" s="572">
        <v>94500</v>
      </c>
      <c r="M11" s="573">
        <v>94500</v>
      </c>
      <c r="N11" s="448">
        <f t="shared" ref="N11:N13" si="0">AVERAGE(J11:M11)</f>
        <v>94500</v>
      </c>
      <c r="O11" s="448">
        <f t="shared" ref="O11:O13" si="1">N11</f>
        <v>94500</v>
      </c>
      <c r="P11" s="489">
        <f>O11/2</f>
        <v>47250</v>
      </c>
      <c r="Q11" s="489">
        <f>P11</f>
        <v>47250</v>
      </c>
      <c r="R11" s="489">
        <f>Q11/2</f>
        <v>23625</v>
      </c>
      <c r="S11" s="470"/>
    </row>
    <row r="12" spans="1:19" ht="15" x14ac:dyDescent="0.25">
      <c r="A12" s="470"/>
      <c r="B12" s="566" t="s">
        <v>391</v>
      </c>
      <c r="C12" s="578">
        <v>18</v>
      </c>
      <c r="D12" s="575">
        <v>35</v>
      </c>
      <c r="E12" s="579">
        <v>24.3</v>
      </c>
      <c r="F12" s="575">
        <v>1</v>
      </c>
      <c r="G12" s="575">
        <v>2</v>
      </c>
      <c r="H12" s="575">
        <v>3</v>
      </c>
      <c r="I12" s="575">
        <v>4</v>
      </c>
      <c r="J12" s="571">
        <v>50544</v>
      </c>
      <c r="K12" s="572">
        <v>101088</v>
      </c>
      <c r="L12" s="572">
        <v>151632</v>
      </c>
      <c r="M12" s="573">
        <v>202176</v>
      </c>
      <c r="N12" s="448">
        <f t="shared" si="0"/>
        <v>126360</v>
      </c>
      <c r="O12" s="448">
        <f t="shared" si="1"/>
        <v>126360</v>
      </c>
      <c r="P12" s="489">
        <f>O12/2</f>
        <v>63180</v>
      </c>
      <c r="Q12" s="448">
        <f>J12</f>
        <v>50544</v>
      </c>
      <c r="R12" s="448">
        <f>Q12</f>
        <v>50544</v>
      </c>
      <c r="S12" s="470"/>
    </row>
    <row r="13" spans="1:19" ht="15" x14ac:dyDescent="0.25">
      <c r="A13" s="470"/>
      <c r="B13" s="566" t="s">
        <v>392</v>
      </c>
      <c r="C13" s="578">
        <v>12</v>
      </c>
      <c r="D13" s="575">
        <v>35</v>
      </c>
      <c r="E13" s="579">
        <v>16.200000000000003</v>
      </c>
      <c r="F13" s="575">
        <v>4</v>
      </c>
      <c r="G13" s="575">
        <v>6</v>
      </c>
      <c r="H13" s="575">
        <v>7</v>
      </c>
      <c r="I13" s="575">
        <v>9</v>
      </c>
      <c r="J13" s="580">
        <v>134784.00000000003</v>
      </c>
      <c r="K13" s="581">
        <v>202176.00000000003</v>
      </c>
      <c r="L13" s="581">
        <v>235872.00000000003</v>
      </c>
      <c r="M13" s="582">
        <v>303264</v>
      </c>
      <c r="N13" s="448">
        <f t="shared" si="0"/>
        <v>219024.00000000003</v>
      </c>
      <c r="O13" s="448">
        <f t="shared" si="1"/>
        <v>219024.00000000003</v>
      </c>
      <c r="P13" s="489">
        <f>O13/2</f>
        <v>109512.00000000001</v>
      </c>
      <c r="Q13" s="489">
        <f>J13/2</f>
        <v>67392.000000000015</v>
      </c>
      <c r="R13" s="489">
        <f>Q13</f>
        <v>67392.000000000015</v>
      </c>
      <c r="S13" s="470"/>
    </row>
    <row r="14" spans="1:19" ht="15" x14ac:dyDescent="0.25">
      <c r="A14" s="470"/>
      <c r="B14" s="583" t="s">
        <v>99</v>
      </c>
      <c r="C14" s="584"/>
      <c r="D14" s="585"/>
      <c r="E14" s="586"/>
      <c r="F14" s="587"/>
      <c r="G14" s="588"/>
      <c r="H14" s="588"/>
      <c r="I14" s="589"/>
      <c r="J14" s="590">
        <v>394578</v>
      </c>
      <c r="K14" s="591">
        <v>512514</v>
      </c>
      <c r="L14" s="591">
        <v>596754</v>
      </c>
      <c r="M14" s="591">
        <v>714690</v>
      </c>
      <c r="N14" s="489"/>
      <c r="O14" s="489"/>
      <c r="P14" s="489"/>
      <c r="Q14" s="489"/>
      <c r="R14" s="489"/>
      <c r="S14" s="470"/>
    </row>
    <row r="15" spans="1:19" ht="15" x14ac:dyDescent="0.25">
      <c r="A15" s="470"/>
      <c r="B15" s="489"/>
      <c r="C15" s="489"/>
      <c r="D15" s="489"/>
      <c r="E15" s="489"/>
      <c r="F15" s="489"/>
      <c r="G15" s="489"/>
      <c r="H15" s="489"/>
      <c r="I15" s="489"/>
      <c r="J15" s="489"/>
      <c r="K15" s="489"/>
      <c r="L15" s="489"/>
      <c r="M15" s="448">
        <f>AVERAGE(J14:M14)</f>
        <v>554634</v>
      </c>
      <c r="N15" s="489"/>
      <c r="O15" s="592">
        <f>SUM(O10:O13)</f>
        <v>554634</v>
      </c>
      <c r="P15" s="592">
        <f t="shared" ref="P15:R15" si="2">SUM(P10:P13)</f>
        <v>334692</v>
      </c>
      <c r="Q15" s="592">
        <f t="shared" si="2"/>
        <v>279936</v>
      </c>
      <c r="R15" s="592">
        <f t="shared" si="2"/>
        <v>141561</v>
      </c>
      <c r="S15" s="470"/>
    </row>
    <row r="16" spans="1:19" ht="15" x14ac:dyDescent="0.25">
      <c r="A16" s="470"/>
      <c r="B16" s="467"/>
      <c r="C16" s="464"/>
      <c r="D16" s="466"/>
      <c r="E16" s="463"/>
      <c r="F16" s="466"/>
      <c r="G16" s="466"/>
      <c r="H16" s="466"/>
      <c r="I16" s="466"/>
      <c r="J16" s="465"/>
      <c r="K16" s="465"/>
      <c r="L16" s="465"/>
      <c r="M16" s="465"/>
      <c r="N16" s="83"/>
      <c r="O16" s="83"/>
      <c r="P16" s="470"/>
      <c r="Q16" s="470"/>
      <c r="R16" s="470"/>
      <c r="S16" s="470"/>
    </row>
    <row r="17" spans="1:19" ht="15" x14ac:dyDescent="0.25">
      <c r="A17" s="471" t="s">
        <v>393</v>
      </c>
      <c r="B17" s="462"/>
      <c r="C17" s="425"/>
      <c r="D17" s="468"/>
      <c r="E17" s="463"/>
      <c r="F17" s="427"/>
      <c r="G17" s="427"/>
      <c r="H17" s="427"/>
      <c r="I17" s="427"/>
      <c r="J17" s="429"/>
      <c r="K17" s="430"/>
      <c r="L17" s="430"/>
      <c r="M17" s="430"/>
      <c r="N17" s="470"/>
      <c r="O17" s="470"/>
      <c r="P17" s="470"/>
      <c r="Q17" s="470"/>
      <c r="R17" s="470"/>
      <c r="S17" s="470"/>
    </row>
    <row r="18" spans="1:19" ht="15" x14ac:dyDescent="0.25">
      <c r="A18" s="470"/>
      <c r="B18" s="470" t="s">
        <v>394</v>
      </c>
      <c r="C18" s="470">
        <f>5000*12</f>
        <v>60000</v>
      </c>
      <c r="D18" s="470"/>
      <c r="E18" s="470"/>
      <c r="F18" s="470"/>
      <c r="G18" s="470"/>
      <c r="H18" s="470"/>
      <c r="I18" s="470"/>
      <c r="J18" s="470"/>
      <c r="K18" s="470"/>
      <c r="L18" s="470"/>
      <c r="M18" s="83"/>
      <c r="N18" s="470"/>
      <c r="O18" s="428"/>
      <c r="P18" s="428"/>
      <c r="Q18" s="428"/>
      <c r="R18" s="428"/>
      <c r="S18" s="470"/>
    </row>
    <row r="19" spans="1:19" ht="15" x14ac:dyDescent="0.25">
      <c r="A19" s="470"/>
      <c r="B19" s="470" t="s">
        <v>395</v>
      </c>
      <c r="C19" s="470">
        <f>5000*12</f>
        <v>60000</v>
      </c>
      <c r="D19" s="470"/>
      <c r="E19" s="470"/>
      <c r="F19" s="470"/>
      <c r="G19" s="470"/>
      <c r="H19" s="470"/>
      <c r="I19" s="470"/>
      <c r="J19" s="470"/>
      <c r="K19" s="470"/>
      <c r="L19" s="470"/>
      <c r="M19" s="470"/>
      <c r="N19" s="470"/>
      <c r="O19" s="470"/>
      <c r="P19" s="470"/>
      <c r="Q19" s="470"/>
      <c r="R19" s="470"/>
      <c r="S19" s="470"/>
    </row>
    <row r="20" spans="1:19" s="70" customFormat="1" ht="15" x14ac:dyDescent="0.25">
      <c r="A20" s="470"/>
      <c r="B20" s="471"/>
      <c r="C20" s="470"/>
      <c r="D20" s="470"/>
      <c r="E20" s="470"/>
      <c r="F20" s="470"/>
      <c r="G20" s="470"/>
      <c r="H20" s="470"/>
      <c r="I20" s="470"/>
      <c r="J20" s="470"/>
      <c r="K20" s="470"/>
      <c r="L20" s="470"/>
      <c r="M20" s="470"/>
      <c r="N20" s="470"/>
      <c r="O20" s="470"/>
      <c r="P20" s="470"/>
      <c r="Q20" s="470"/>
      <c r="R20" s="470"/>
      <c r="S20" s="470"/>
    </row>
    <row r="21" spans="1:19" s="70" customFormat="1" ht="15" x14ac:dyDescent="0.25">
      <c r="A21" s="470"/>
      <c r="B21" s="78" t="s">
        <v>81</v>
      </c>
      <c r="C21" s="78">
        <f>C19+C18</f>
        <v>120000</v>
      </c>
      <c r="D21" s="470"/>
      <c r="E21" s="470"/>
      <c r="F21" s="470"/>
      <c r="G21" s="470"/>
      <c r="H21" s="470"/>
      <c r="I21" s="470"/>
      <c r="J21" s="470"/>
      <c r="K21" s="470"/>
      <c r="L21" s="470"/>
      <c r="M21" s="470"/>
      <c r="N21" s="470"/>
      <c r="O21" s="470"/>
      <c r="P21" s="470"/>
      <c r="Q21" s="470"/>
      <c r="R21" s="470"/>
      <c r="S21" s="470"/>
    </row>
    <row r="22" spans="1:19" s="70" customFormat="1" ht="15" x14ac:dyDescent="0.25">
      <c r="A22" s="470"/>
      <c r="B22" s="470"/>
      <c r="C22" s="470"/>
      <c r="D22" s="470"/>
      <c r="E22" s="470"/>
      <c r="F22" s="470"/>
      <c r="G22" s="470"/>
      <c r="H22" s="470"/>
      <c r="I22" s="470"/>
      <c r="J22" s="470"/>
      <c r="K22" s="470"/>
      <c r="L22" s="470"/>
      <c r="M22" s="470"/>
      <c r="N22" s="470"/>
      <c r="O22" s="470"/>
      <c r="P22" s="470"/>
      <c r="Q22" s="470"/>
      <c r="R22" s="470"/>
      <c r="S22" s="470"/>
    </row>
    <row r="23" spans="1:19" s="70" customFormat="1" ht="15" x14ac:dyDescent="0.25">
      <c r="B23" s="492"/>
    </row>
    <row r="24" spans="1:19" s="263" customFormat="1" ht="15" x14ac:dyDescent="0.25">
      <c r="A24" s="183" t="s">
        <v>149</v>
      </c>
      <c r="B24" s="491"/>
    </row>
    <row r="25" spans="1:19" s="263" customFormat="1" ht="15" x14ac:dyDescent="0.25">
      <c r="A25" s="263">
        <v>2.4</v>
      </c>
      <c r="B25" s="624" t="s">
        <v>472</v>
      </c>
    </row>
    <row r="26" spans="1:19" s="263" customFormat="1" ht="15" x14ac:dyDescent="0.25">
      <c r="B26" s="491"/>
    </row>
    <row r="27" spans="1:19" s="263" customFormat="1" ht="15" x14ac:dyDescent="0.25">
      <c r="A27" s="183" t="s">
        <v>213</v>
      </c>
    </row>
    <row r="28" spans="1:19" s="263" customFormat="1" ht="15" x14ac:dyDescent="0.25">
      <c r="A28" s="263">
        <v>2.4</v>
      </c>
      <c r="B28" s="625" t="s">
        <v>473</v>
      </c>
    </row>
    <row r="29" spans="1:19" s="263" customFormat="1" ht="15" x14ac:dyDescent="0.25"/>
    <row r="30" spans="1:19" s="70" customFormat="1" ht="15" x14ac:dyDescent="0.25">
      <c r="B30" s="221"/>
    </row>
    <row r="31" spans="1:19" ht="15" x14ac:dyDescent="0.25">
      <c r="B31" s="264"/>
    </row>
  </sheetData>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7"/>
  <sheetViews>
    <sheetView topLeftCell="A13" zoomScale="70" zoomScaleNormal="70" zoomScalePageLayoutView="70" workbookViewId="0">
      <selection activeCell="C19" sqref="C19"/>
    </sheetView>
  </sheetViews>
  <sheetFormatPr defaultColWidth="8.88671875" defaultRowHeight="14.4" x14ac:dyDescent="0.3"/>
  <cols>
    <col min="1" max="1" width="4.6640625" style="768" customWidth="1"/>
    <col min="2" max="2" width="5.88671875" style="768" customWidth="1"/>
    <col min="3" max="3" width="26.88671875" style="768" customWidth="1"/>
    <col min="4" max="4" width="23" style="768" customWidth="1"/>
    <col min="5" max="5" width="23.44140625" style="768" customWidth="1"/>
    <col min="6" max="6" width="16.88671875" style="768" customWidth="1"/>
    <col min="7" max="7" width="14.6640625" style="768" bestFit="1" customWidth="1"/>
    <col min="8" max="8" width="15.109375" style="768" bestFit="1" customWidth="1"/>
    <col min="9" max="9" width="20" style="768" customWidth="1"/>
    <col min="10" max="10" width="14.44140625" style="768" customWidth="1"/>
    <col min="11" max="11" width="13.109375" style="768" customWidth="1"/>
    <col min="12" max="12" width="14.44140625" style="768" customWidth="1"/>
    <col min="13" max="13" width="17.109375" style="768" customWidth="1"/>
    <col min="14" max="14" width="20" style="768" customWidth="1"/>
    <col min="15" max="15" width="14.88671875" style="768" customWidth="1"/>
    <col min="16" max="16" width="13.33203125" style="768" customWidth="1"/>
    <col min="17" max="17" width="10.6640625" style="768" customWidth="1"/>
    <col min="18" max="18" width="11.44140625" style="768" customWidth="1"/>
    <col min="19" max="19" width="12.6640625" style="768" customWidth="1"/>
    <col min="20" max="20" width="12.44140625" style="768" customWidth="1"/>
    <col min="21" max="21" width="11.44140625" style="768" customWidth="1"/>
    <col min="22" max="22" width="16.109375" style="768" customWidth="1"/>
    <col min="23" max="23" width="13.6640625" style="768" customWidth="1"/>
    <col min="24" max="16384" width="8.88671875" style="768"/>
  </cols>
  <sheetData>
    <row r="1" spans="1:17" ht="15" x14ac:dyDescent="0.25">
      <c r="A1" s="611" t="s">
        <v>374</v>
      </c>
    </row>
    <row r="2" spans="1:17" ht="15" x14ac:dyDescent="0.25">
      <c r="A2" s="611"/>
      <c r="J2" s="611" t="s">
        <v>762</v>
      </c>
      <c r="K2" s="106" t="s">
        <v>759</v>
      </c>
    </row>
    <row r="3" spans="1:17" ht="15" x14ac:dyDescent="0.25">
      <c r="E3" s="1003" t="s">
        <v>142</v>
      </c>
      <c r="F3" s="1003"/>
      <c r="G3" s="1003"/>
      <c r="H3" s="1003"/>
      <c r="J3" s="768" t="s">
        <v>763</v>
      </c>
      <c r="K3" s="106" t="s">
        <v>760</v>
      </c>
    </row>
    <row r="4" spans="1:17" ht="15" x14ac:dyDescent="0.25">
      <c r="A4" s="611" t="s">
        <v>110</v>
      </c>
      <c r="E4" s="419">
        <v>1</v>
      </c>
      <c r="F4" s="419">
        <v>10</v>
      </c>
      <c r="G4" s="419">
        <v>50</v>
      </c>
      <c r="H4" s="419">
        <v>100</v>
      </c>
      <c r="J4" s="419"/>
      <c r="K4" s="778" t="s">
        <v>761</v>
      </c>
    </row>
    <row r="5" spans="1:17" ht="15" x14ac:dyDescent="0.25">
      <c r="B5" s="768">
        <v>2.5</v>
      </c>
      <c r="C5" s="768" t="s">
        <v>56</v>
      </c>
      <c r="E5" s="474">
        <f>D86</f>
        <v>64306.653333333335</v>
      </c>
      <c r="F5" s="474">
        <f>E86</f>
        <v>58717.508402299063</v>
      </c>
      <c r="G5" s="474">
        <f>F86</f>
        <v>55101.889112441197</v>
      </c>
      <c r="H5" s="474">
        <f>G86</f>
        <v>39208.749000000003</v>
      </c>
      <c r="I5" s="400"/>
      <c r="J5" s="400"/>
    </row>
    <row r="8" spans="1:17" ht="15" x14ac:dyDescent="0.25">
      <c r="A8" s="611" t="s">
        <v>432</v>
      </c>
    </row>
    <row r="10" spans="1:17" ht="15" x14ac:dyDescent="0.25">
      <c r="B10" s="768" t="s">
        <v>38</v>
      </c>
      <c r="D10" s="419" t="s">
        <v>428</v>
      </c>
      <c r="E10" s="419" t="s">
        <v>142</v>
      </c>
      <c r="F10" s="419" t="s">
        <v>429</v>
      </c>
      <c r="G10" s="419" t="s">
        <v>430</v>
      </c>
      <c r="H10" s="419" t="s">
        <v>431</v>
      </c>
      <c r="I10" s="419" t="s">
        <v>435</v>
      </c>
      <c r="N10" s="769"/>
      <c r="P10" s="420"/>
      <c r="Q10" s="522"/>
    </row>
    <row r="11" spans="1:17" ht="15" x14ac:dyDescent="0.25">
      <c r="C11" s="768" t="s">
        <v>287</v>
      </c>
      <c r="D11" s="420">
        <v>9350</v>
      </c>
      <c r="E11" s="768">
        <v>1</v>
      </c>
      <c r="F11" s="768">
        <v>8</v>
      </c>
      <c r="G11" s="65">
        <f>D11*E11*H11</f>
        <v>1168.75</v>
      </c>
      <c r="H11" s="258">
        <f>1/F11</f>
        <v>0.125</v>
      </c>
      <c r="I11" s="258">
        <f>H11</f>
        <v>0.125</v>
      </c>
      <c r="N11" s="769"/>
      <c r="P11" s="420"/>
      <c r="Q11" s="522"/>
    </row>
    <row r="12" spans="1:17" ht="15" x14ac:dyDescent="0.25">
      <c r="C12" s="768" t="s">
        <v>303</v>
      </c>
      <c r="D12" s="420">
        <v>408</v>
      </c>
      <c r="E12" s="768">
        <v>4</v>
      </c>
      <c r="F12" s="768">
        <v>20</v>
      </c>
      <c r="G12" s="65">
        <f t="shared" ref="G12:G28" si="0">D12*E12*H12</f>
        <v>81.600000000000009</v>
      </c>
      <c r="H12" s="258">
        <f t="shared" ref="H12:H28" si="1">1/F12</f>
        <v>0.05</v>
      </c>
      <c r="N12" s="769"/>
      <c r="P12" s="420"/>
      <c r="Q12" s="522"/>
    </row>
    <row r="13" spans="1:17" ht="15" x14ac:dyDescent="0.25">
      <c r="C13" s="768" t="s">
        <v>423</v>
      </c>
      <c r="D13" s="420">
        <v>116</v>
      </c>
      <c r="E13" s="768">
        <v>1</v>
      </c>
      <c r="F13" s="768">
        <v>5</v>
      </c>
      <c r="G13" s="65">
        <f t="shared" si="0"/>
        <v>23.200000000000003</v>
      </c>
      <c r="H13" s="258">
        <f t="shared" si="1"/>
        <v>0.2</v>
      </c>
      <c r="N13" s="769"/>
      <c r="P13" s="420"/>
      <c r="Q13" s="522"/>
    </row>
    <row r="14" spans="1:17" ht="15" x14ac:dyDescent="0.25">
      <c r="C14" s="768" t="s">
        <v>289</v>
      </c>
      <c r="D14" s="420">
        <v>225</v>
      </c>
      <c r="E14" s="768">
        <v>2</v>
      </c>
      <c r="F14" s="768">
        <v>8</v>
      </c>
      <c r="G14" s="65">
        <f t="shared" si="0"/>
        <v>56.25</v>
      </c>
      <c r="H14" s="258">
        <f t="shared" si="1"/>
        <v>0.125</v>
      </c>
      <c r="N14" s="769"/>
      <c r="P14" s="420"/>
      <c r="Q14" s="522"/>
    </row>
    <row r="15" spans="1:17" ht="15" x14ac:dyDescent="0.25">
      <c r="C15" s="768" t="s">
        <v>290</v>
      </c>
      <c r="D15" s="420">
        <v>702</v>
      </c>
      <c r="E15" s="768">
        <v>2</v>
      </c>
      <c r="G15" s="65"/>
      <c r="H15" s="258"/>
      <c r="N15" s="769"/>
      <c r="P15" s="420"/>
      <c r="Q15" s="522"/>
    </row>
    <row r="16" spans="1:17" ht="15" x14ac:dyDescent="0.25">
      <c r="C16" s="768" t="s">
        <v>291</v>
      </c>
      <c r="D16" s="420">
        <v>19800</v>
      </c>
      <c r="E16" s="768">
        <v>4</v>
      </c>
      <c r="G16" s="65"/>
      <c r="H16" s="258"/>
      <c r="N16" s="769"/>
      <c r="P16" s="420"/>
      <c r="Q16" s="522"/>
    </row>
    <row r="17" spans="1:17" ht="15" x14ac:dyDescent="0.25">
      <c r="C17" s="768" t="s">
        <v>292</v>
      </c>
      <c r="D17" s="420">
        <v>898</v>
      </c>
      <c r="E17" s="768">
        <v>1</v>
      </c>
      <c r="G17" s="65"/>
      <c r="H17" s="258"/>
      <c r="N17" s="769"/>
      <c r="P17" s="420"/>
      <c r="Q17" s="522"/>
    </row>
    <row r="18" spans="1:17" ht="15" x14ac:dyDescent="0.25">
      <c r="C18" s="768" t="s">
        <v>293</v>
      </c>
      <c r="D18" s="420">
        <v>2568</v>
      </c>
      <c r="E18" s="768">
        <v>1</v>
      </c>
      <c r="G18" s="65"/>
      <c r="H18" s="258"/>
      <c r="N18" s="769"/>
      <c r="P18" s="420"/>
      <c r="Q18" s="522"/>
    </row>
    <row r="19" spans="1:17" ht="15" x14ac:dyDescent="0.25">
      <c r="C19" s="768" t="s">
        <v>294</v>
      </c>
      <c r="D19" s="420">
        <v>8261</v>
      </c>
      <c r="E19" s="768">
        <v>1</v>
      </c>
      <c r="F19" s="768">
        <v>5</v>
      </c>
      <c r="G19" s="65">
        <f t="shared" si="0"/>
        <v>1652.2</v>
      </c>
      <c r="H19" s="258">
        <f t="shared" si="1"/>
        <v>0.2</v>
      </c>
      <c r="I19" s="258">
        <f>H19</f>
        <v>0.2</v>
      </c>
      <c r="N19" s="769"/>
      <c r="P19" s="420"/>
      <c r="Q19" s="522"/>
    </row>
    <row r="20" spans="1:17" ht="15" x14ac:dyDescent="0.25">
      <c r="C20" s="768" t="s">
        <v>295</v>
      </c>
      <c r="D20" s="420">
        <v>7000</v>
      </c>
      <c r="E20" s="768">
        <v>1</v>
      </c>
      <c r="G20" s="65"/>
      <c r="H20" s="258"/>
      <c r="M20" s="491"/>
      <c r="N20" s="77"/>
      <c r="P20" s="420"/>
      <c r="Q20" s="522"/>
    </row>
    <row r="21" spans="1:17" ht="15" x14ac:dyDescent="0.25">
      <c r="B21" s="768" t="s">
        <v>425</v>
      </c>
      <c r="G21" s="65"/>
      <c r="H21" s="258"/>
      <c r="M21" s="491"/>
      <c r="N21" s="77"/>
      <c r="P21" s="420"/>
      <c r="Q21" s="522"/>
    </row>
    <row r="22" spans="1:17" ht="15" x14ac:dyDescent="0.25">
      <c r="C22" s="768" t="s">
        <v>34</v>
      </c>
      <c r="D22" s="420">
        <v>7006</v>
      </c>
      <c r="E22" s="768">
        <v>1</v>
      </c>
      <c r="F22" s="768">
        <v>10</v>
      </c>
      <c r="G22" s="65">
        <f t="shared" si="0"/>
        <v>700.6</v>
      </c>
      <c r="H22" s="258">
        <f t="shared" si="1"/>
        <v>0.1</v>
      </c>
      <c r="I22" s="258">
        <f>H22</f>
        <v>0.1</v>
      </c>
      <c r="M22" s="491"/>
      <c r="N22" s="77"/>
      <c r="P22" s="420"/>
      <c r="Q22" s="522"/>
    </row>
    <row r="23" spans="1:17" ht="15" x14ac:dyDescent="0.25">
      <c r="C23" s="768" t="s">
        <v>39</v>
      </c>
      <c r="D23" s="420">
        <v>30000</v>
      </c>
      <c r="E23" s="768">
        <v>1</v>
      </c>
      <c r="F23" s="768">
        <v>7.5</v>
      </c>
      <c r="G23" s="65">
        <f t="shared" si="0"/>
        <v>4000</v>
      </c>
      <c r="H23" s="258">
        <f t="shared" si="1"/>
        <v>0.13333333333333333</v>
      </c>
      <c r="I23" s="258">
        <f>H23</f>
        <v>0.13333333333333333</v>
      </c>
      <c r="P23" s="420"/>
    </row>
    <row r="24" spans="1:17" ht="15" x14ac:dyDescent="0.25">
      <c r="C24" s="768" t="s">
        <v>41</v>
      </c>
      <c r="D24" s="420">
        <v>20000</v>
      </c>
      <c r="E24" s="768">
        <v>1</v>
      </c>
      <c r="F24" s="768">
        <v>15</v>
      </c>
      <c r="G24" s="65">
        <f t="shared" si="0"/>
        <v>1333.3333333333333</v>
      </c>
      <c r="H24" s="258">
        <f t="shared" si="1"/>
        <v>6.6666666666666666E-2</v>
      </c>
      <c r="I24" s="258">
        <f>H24</f>
        <v>6.6666666666666666E-2</v>
      </c>
      <c r="P24" s="420"/>
    </row>
    <row r="25" spans="1:17" ht="15" x14ac:dyDescent="0.25">
      <c r="B25" s="768" t="s">
        <v>426</v>
      </c>
      <c r="G25" s="65"/>
      <c r="H25" s="258"/>
      <c r="P25" s="420"/>
    </row>
    <row r="26" spans="1:17" ht="15" x14ac:dyDescent="0.25">
      <c r="C26" s="768" t="s">
        <v>43</v>
      </c>
      <c r="D26" s="420">
        <v>88000</v>
      </c>
      <c r="E26" s="768">
        <v>1</v>
      </c>
      <c r="F26" s="768">
        <v>10</v>
      </c>
      <c r="G26" s="65">
        <f t="shared" si="0"/>
        <v>8800</v>
      </c>
      <c r="H26" s="258">
        <f t="shared" si="1"/>
        <v>0.1</v>
      </c>
      <c r="P26" s="420"/>
    </row>
    <row r="27" spans="1:17" ht="15" x14ac:dyDescent="0.25">
      <c r="C27" s="768" t="s">
        <v>427</v>
      </c>
      <c r="D27" s="768">
        <f>'1.3 (RM3)'!E10</f>
        <v>524775</v>
      </c>
      <c r="E27" s="768">
        <v>1</v>
      </c>
      <c r="F27" s="768">
        <v>20</v>
      </c>
      <c r="G27" s="65">
        <f t="shared" si="0"/>
        <v>26238.75</v>
      </c>
      <c r="H27" s="258">
        <f t="shared" si="1"/>
        <v>0.05</v>
      </c>
      <c r="I27" s="258">
        <f>H27</f>
        <v>0.05</v>
      </c>
      <c r="P27" s="420"/>
    </row>
    <row r="28" spans="1:17" ht="15" x14ac:dyDescent="0.25">
      <c r="C28" s="768" t="s">
        <v>434</v>
      </c>
      <c r="D28" s="420">
        <v>30514</v>
      </c>
      <c r="E28" s="768">
        <v>1</v>
      </c>
      <c r="F28" s="768">
        <v>10</v>
      </c>
      <c r="G28" s="65">
        <f t="shared" si="0"/>
        <v>3051.4</v>
      </c>
      <c r="H28" s="258">
        <f t="shared" si="1"/>
        <v>0.1</v>
      </c>
      <c r="P28" s="420"/>
    </row>
    <row r="29" spans="1:17" ht="15" x14ac:dyDescent="0.25">
      <c r="P29" s="420"/>
    </row>
    <row r="30" spans="1:17" ht="15" x14ac:dyDescent="0.25">
      <c r="B30" s="298" t="s">
        <v>81</v>
      </c>
      <c r="C30" s="298"/>
      <c r="D30" s="298"/>
      <c r="E30" s="298"/>
      <c r="F30" s="298"/>
      <c r="G30" s="596">
        <f>SUM(G11:G28)</f>
        <v>47106.083333333336</v>
      </c>
      <c r="H30" s="596">
        <f>SUM(H11:H28)</f>
        <v>1.25</v>
      </c>
      <c r="I30" s="597">
        <f>SUM(I11:I28)</f>
        <v>0.67500000000000004</v>
      </c>
    </row>
    <row r="32" spans="1:17" ht="15" x14ac:dyDescent="0.25">
      <c r="A32" s="611" t="s">
        <v>436</v>
      </c>
      <c r="E32" s="611">
        <f>'Performance &amp; Economics'!G5</f>
        <v>373</v>
      </c>
      <c r="F32" s="611" t="s">
        <v>140</v>
      </c>
    </row>
    <row r="34" spans="2:9" ht="15" x14ac:dyDescent="0.25">
      <c r="B34" s="768" t="s">
        <v>38</v>
      </c>
      <c r="D34" s="419" t="s">
        <v>428</v>
      </c>
      <c r="E34" s="419" t="s">
        <v>142</v>
      </c>
      <c r="F34" s="419" t="s">
        <v>429</v>
      </c>
      <c r="G34" s="419" t="s">
        <v>430</v>
      </c>
      <c r="H34" s="419" t="s">
        <v>431</v>
      </c>
      <c r="I34" s="419" t="s">
        <v>435</v>
      </c>
    </row>
    <row r="35" spans="2:9" ht="15" x14ac:dyDescent="0.25">
      <c r="C35" s="768" t="s">
        <v>287</v>
      </c>
      <c r="D35" s="413">
        <f>D11*$E$32/100</f>
        <v>34875.5</v>
      </c>
      <c r="E35" s="768">
        <v>1</v>
      </c>
      <c r="F35" s="768">
        <v>8</v>
      </c>
      <c r="G35" s="412">
        <f>D35*E35*H35</f>
        <v>4359.4375</v>
      </c>
      <c r="H35" s="258">
        <f>1/F35</f>
        <v>0.125</v>
      </c>
      <c r="I35" s="258">
        <f>H35</f>
        <v>0.125</v>
      </c>
    </row>
    <row r="36" spans="2:9" ht="15" x14ac:dyDescent="0.25">
      <c r="C36" s="768" t="s">
        <v>303</v>
      </c>
      <c r="D36" s="413">
        <f t="shared" ref="D36:D48" si="2">D12*$E$32/100</f>
        <v>1521.84</v>
      </c>
      <c r="E36" s="768">
        <v>4</v>
      </c>
      <c r="F36" s="768">
        <v>20</v>
      </c>
      <c r="G36" s="412">
        <f t="shared" ref="G36:G38" si="3">D36*E36*H36</f>
        <v>304.36799999999999</v>
      </c>
      <c r="H36" s="258">
        <f t="shared" ref="H36:H38" si="4">1/F36</f>
        <v>0.05</v>
      </c>
    </row>
    <row r="37" spans="2:9" ht="15" x14ac:dyDescent="0.25">
      <c r="C37" s="768" t="s">
        <v>423</v>
      </c>
      <c r="D37" s="413">
        <f t="shared" si="2"/>
        <v>432.68</v>
      </c>
      <c r="E37" s="768">
        <v>1</v>
      </c>
      <c r="F37" s="768">
        <v>5</v>
      </c>
      <c r="G37" s="412">
        <f t="shared" si="3"/>
        <v>86.536000000000001</v>
      </c>
      <c r="H37" s="258">
        <f t="shared" si="4"/>
        <v>0.2</v>
      </c>
    </row>
    <row r="38" spans="2:9" ht="15" x14ac:dyDescent="0.25">
      <c r="C38" s="768" t="s">
        <v>289</v>
      </c>
      <c r="D38" s="413">
        <f t="shared" si="2"/>
        <v>839.25</v>
      </c>
      <c r="E38" s="768">
        <v>2</v>
      </c>
      <c r="F38" s="768">
        <v>8</v>
      </c>
      <c r="G38" s="412">
        <f t="shared" si="3"/>
        <v>209.8125</v>
      </c>
      <c r="H38" s="258">
        <f t="shared" si="4"/>
        <v>0.125</v>
      </c>
    </row>
    <row r="39" spans="2:9" ht="15" x14ac:dyDescent="0.25">
      <c r="C39" s="768" t="s">
        <v>290</v>
      </c>
      <c r="D39" s="413">
        <f t="shared" si="2"/>
        <v>2618.46</v>
      </c>
      <c r="E39" s="768">
        <v>2</v>
      </c>
      <c r="G39" s="412"/>
      <c r="H39" s="258"/>
    </row>
    <row r="40" spans="2:9" ht="15" x14ac:dyDescent="0.25">
      <c r="C40" s="768" t="s">
        <v>291</v>
      </c>
      <c r="D40" s="413">
        <f t="shared" si="2"/>
        <v>73854</v>
      </c>
      <c r="E40" s="768">
        <v>4</v>
      </c>
      <c r="G40" s="412"/>
      <c r="H40" s="258"/>
    </row>
    <row r="41" spans="2:9" ht="15" x14ac:dyDescent="0.25">
      <c r="C41" s="768" t="s">
        <v>292</v>
      </c>
      <c r="D41" s="413">
        <f t="shared" si="2"/>
        <v>3349.54</v>
      </c>
      <c r="E41" s="768">
        <v>1</v>
      </c>
      <c r="G41" s="412"/>
      <c r="H41" s="258"/>
    </row>
    <row r="42" spans="2:9" ht="15" x14ac:dyDescent="0.25">
      <c r="C42" s="768" t="s">
        <v>293</v>
      </c>
      <c r="D42" s="413">
        <f t="shared" si="2"/>
        <v>9578.64</v>
      </c>
      <c r="E42" s="768">
        <v>1</v>
      </c>
      <c r="G42" s="412"/>
      <c r="H42" s="258"/>
    </row>
    <row r="43" spans="2:9" ht="15" x14ac:dyDescent="0.25">
      <c r="C43" s="768" t="s">
        <v>294</v>
      </c>
      <c r="D43" s="413">
        <f t="shared" si="2"/>
        <v>30813.53</v>
      </c>
      <c r="E43" s="768">
        <v>1</v>
      </c>
      <c r="F43" s="768">
        <v>5</v>
      </c>
      <c r="G43" s="412">
        <f t="shared" ref="G43" si="5">D43*E43*H43</f>
        <v>6162.7060000000001</v>
      </c>
      <c r="H43" s="258">
        <f t="shared" ref="H43" si="6">1/F43</f>
        <v>0.2</v>
      </c>
      <c r="I43" s="258">
        <f>H43</f>
        <v>0.2</v>
      </c>
    </row>
    <row r="44" spans="2:9" ht="15" x14ac:dyDescent="0.25">
      <c r="C44" s="768" t="s">
        <v>295</v>
      </c>
      <c r="D44" s="413">
        <f t="shared" si="2"/>
        <v>26110</v>
      </c>
      <c r="E44" s="768">
        <v>1</v>
      </c>
      <c r="G44" s="412"/>
      <c r="H44" s="258"/>
    </row>
    <row r="45" spans="2:9" ht="15" x14ac:dyDescent="0.25">
      <c r="B45" s="768" t="s">
        <v>425</v>
      </c>
      <c r="D45" s="413">
        <f t="shared" si="2"/>
        <v>0</v>
      </c>
      <c r="G45" s="412"/>
      <c r="H45" s="258"/>
    </row>
    <row r="46" spans="2:9" ht="15" x14ac:dyDescent="0.25">
      <c r="C46" s="768" t="s">
        <v>34</v>
      </c>
      <c r="D46" s="413">
        <f t="shared" si="2"/>
        <v>26132.38</v>
      </c>
      <c r="E46" s="768">
        <v>1</v>
      </c>
      <c r="F46" s="768">
        <v>10</v>
      </c>
      <c r="G46" s="412">
        <f t="shared" ref="G46:G48" si="7">D46*E46*H46</f>
        <v>2613.2380000000003</v>
      </c>
      <c r="H46" s="258">
        <f t="shared" ref="H46:H48" si="8">1/F46</f>
        <v>0.1</v>
      </c>
      <c r="I46" s="258">
        <f>H46</f>
        <v>0.1</v>
      </c>
    </row>
    <row r="47" spans="2:9" x14ac:dyDescent="0.3">
      <c r="C47" s="768" t="s">
        <v>39</v>
      </c>
      <c r="D47" s="413">
        <f t="shared" si="2"/>
        <v>111900</v>
      </c>
      <c r="E47" s="768">
        <v>1</v>
      </c>
      <c r="F47" s="768">
        <v>7.5</v>
      </c>
      <c r="G47" s="412">
        <f t="shared" si="7"/>
        <v>14920</v>
      </c>
      <c r="H47" s="258">
        <f t="shared" si="8"/>
        <v>0.13333333333333333</v>
      </c>
      <c r="I47" s="258">
        <f>H47</f>
        <v>0.13333333333333333</v>
      </c>
    </row>
    <row r="48" spans="2:9" x14ac:dyDescent="0.3">
      <c r="C48" s="768" t="s">
        <v>41</v>
      </c>
      <c r="D48" s="413">
        <f t="shared" si="2"/>
        <v>74600</v>
      </c>
      <c r="E48" s="768">
        <v>1</v>
      </c>
      <c r="F48" s="768">
        <v>15</v>
      </c>
      <c r="G48" s="412">
        <f t="shared" si="7"/>
        <v>4973.333333333333</v>
      </c>
      <c r="H48" s="258">
        <f t="shared" si="8"/>
        <v>6.6666666666666666E-2</v>
      </c>
      <c r="I48" s="258">
        <f>H48</f>
        <v>6.6666666666666666E-2</v>
      </c>
    </row>
    <row r="49" spans="1:9" x14ac:dyDescent="0.3">
      <c r="B49" s="768" t="s">
        <v>426</v>
      </c>
      <c r="D49" s="413"/>
      <c r="G49" s="412"/>
      <c r="H49" s="258"/>
    </row>
    <row r="50" spans="1:9" x14ac:dyDescent="0.3">
      <c r="C50" s="768" t="s">
        <v>43</v>
      </c>
      <c r="D50" s="413">
        <f>D26</f>
        <v>88000</v>
      </c>
      <c r="E50" s="768">
        <v>1</v>
      </c>
      <c r="F50" s="768">
        <v>10</v>
      </c>
      <c r="G50" s="412">
        <f t="shared" ref="G50:G52" si="9">D50*E50*H50</f>
        <v>8800</v>
      </c>
      <c r="H50" s="258">
        <f t="shared" ref="H50:H52" si="10">1/F50</f>
        <v>0.1</v>
      </c>
    </row>
    <row r="51" spans="1:9" x14ac:dyDescent="0.3">
      <c r="C51" s="768" t="s">
        <v>427</v>
      </c>
      <c r="D51" s="413">
        <f>D27</f>
        <v>524775</v>
      </c>
      <c r="E51" s="768">
        <v>1</v>
      </c>
      <c r="F51" s="768">
        <v>50</v>
      </c>
      <c r="G51" s="412">
        <f t="shared" si="9"/>
        <v>10495.5</v>
      </c>
      <c r="H51" s="258">
        <f t="shared" si="10"/>
        <v>0.02</v>
      </c>
      <c r="I51" s="258">
        <f>H51</f>
        <v>0.02</v>
      </c>
    </row>
    <row r="52" spans="1:9" x14ac:dyDescent="0.3">
      <c r="C52" s="768" t="s">
        <v>434</v>
      </c>
      <c r="D52" s="413">
        <f>D28*E32/100</f>
        <v>113817.22</v>
      </c>
      <c r="E52" s="768">
        <v>1</v>
      </c>
      <c r="F52" s="768">
        <v>10</v>
      </c>
      <c r="G52" s="412">
        <f t="shared" si="9"/>
        <v>11381.722000000002</v>
      </c>
      <c r="H52" s="258">
        <f t="shared" si="10"/>
        <v>0.1</v>
      </c>
    </row>
    <row r="53" spans="1:9" x14ac:dyDescent="0.3">
      <c r="G53" s="412"/>
    </row>
    <row r="54" spans="1:9" x14ac:dyDescent="0.3">
      <c r="B54" s="298" t="s">
        <v>81</v>
      </c>
      <c r="C54" s="298"/>
      <c r="D54" s="298"/>
      <c r="E54" s="298"/>
      <c r="F54" s="298"/>
      <c r="G54" s="179">
        <f>SUM(G35:G52)</f>
        <v>64306.653333333335</v>
      </c>
      <c r="H54" s="596">
        <f>SUM(H35:H52)</f>
        <v>1.22</v>
      </c>
      <c r="I54" s="597">
        <f>SUM(I35:I52)</f>
        <v>0.64500000000000002</v>
      </c>
    </row>
    <row r="55" spans="1:9" x14ac:dyDescent="0.3">
      <c r="E55" s="419"/>
      <c r="F55" s="419"/>
      <c r="G55" s="419"/>
      <c r="H55" s="419"/>
    </row>
    <row r="56" spans="1:9" x14ac:dyDescent="0.3">
      <c r="A56" s="611" t="s">
        <v>437</v>
      </c>
      <c r="E56" s="419"/>
      <c r="F56" s="419"/>
      <c r="G56" s="419"/>
      <c r="H56" s="419"/>
    </row>
    <row r="57" spans="1:9" x14ac:dyDescent="0.3">
      <c r="E57" s="419"/>
      <c r="F57" s="419"/>
      <c r="G57" s="419"/>
      <c r="H57" s="419"/>
    </row>
    <row r="58" spans="1:9" x14ac:dyDescent="0.3">
      <c r="B58" s="768" t="s">
        <v>38</v>
      </c>
      <c r="D58" s="419" t="s">
        <v>428</v>
      </c>
      <c r="E58" s="419" t="s">
        <v>142</v>
      </c>
      <c r="F58" s="419" t="s">
        <v>429</v>
      </c>
      <c r="G58" s="419" t="s">
        <v>430</v>
      </c>
      <c r="H58" s="419" t="s">
        <v>431</v>
      </c>
      <c r="I58" s="419" t="s">
        <v>435</v>
      </c>
    </row>
    <row r="59" spans="1:9" x14ac:dyDescent="0.3">
      <c r="C59" s="768" t="s">
        <v>287</v>
      </c>
      <c r="D59" s="413">
        <v>24310</v>
      </c>
      <c r="E59" s="768">
        <v>1</v>
      </c>
      <c r="F59" s="768">
        <v>8</v>
      </c>
      <c r="G59" s="412">
        <f>D59*E59*H59</f>
        <v>3038.75</v>
      </c>
      <c r="H59" s="258">
        <f>1/F59</f>
        <v>0.125</v>
      </c>
      <c r="I59" s="258">
        <f>H59</f>
        <v>0.125</v>
      </c>
    </row>
    <row r="60" spans="1:9" x14ac:dyDescent="0.3">
      <c r="C60" s="768" t="s">
        <v>303</v>
      </c>
      <c r="D60" s="413">
        <v>938.07999999999993</v>
      </c>
      <c r="E60" s="768">
        <v>4</v>
      </c>
      <c r="F60" s="768">
        <v>20</v>
      </c>
      <c r="G60" s="412">
        <f t="shared" ref="G60:G62" si="11">D60*E60*H60</f>
        <v>187.61599999999999</v>
      </c>
      <c r="H60" s="258">
        <f t="shared" ref="H60:H62" si="12">1/F60</f>
        <v>0.05</v>
      </c>
    </row>
    <row r="61" spans="1:9" x14ac:dyDescent="0.3">
      <c r="C61" s="768" t="s">
        <v>423</v>
      </c>
      <c r="D61" s="413">
        <v>277.42</v>
      </c>
      <c r="E61" s="768">
        <v>1</v>
      </c>
      <c r="F61" s="768">
        <v>5</v>
      </c>
      <c r="G61" s="412">
        <f t="shared" si="11"/>
        <v>55.484000000000009</v>
      </c>
      <c r="H61" s="258">
        <f t="shared" si="12"/>
        <v>0.2</v>
      </c>
    </row>
    <row r="62" spans="1:9" x14ac:dyDescent="0.3">
      <c r="C62" s="768" t="s">
        <v>289</v>
      </c>
      <c r="D62" s="413">
        <v>480.47999999999996</v>
      </c>
      <c r="E62" s="768">
        <v>2</v>
      </c>
      <c r="F62" s="768">
        <v>8</v>
      </c>
      <c r="G62" s="412">
        <f t="shared" si="11"/>
        <v>120.11999999999999</v>
      </c>
      <c r="H62" s="258">
        <f t="shared" si="12"/>
        <v>0.125</v>
      </c>
    </row>
    <row r="63" spans="1:9" x14ac:dyDescent="0.3">
      <c r="C63" s="768" t="s">
        <v>290</v>
      </c>
      <c r="D63" s="413">
        <v>1893.32</v>
      </c>
      <c r="E63" s="768">
        <v>2</v>
      </c>
      <c r="G63" s="412"/>
      <c r="H63" s="258"/>
    </row>
    <row r="64" spans="1:9" x14ac:dyDescent="0.3">
      <c r="C64" s="768" t="s">
        <v>291</v>
      </c>
      <c r="D64" s="413">
        <v>23452</v>
      </c>
      <c r="E64" s="768">
        <v>4</v>
      </c>
      <c r="G64" s="412"/>
      <c r="H64" s="258"/>
    </row>
    <row r="65" spans="2:9" x14ac:dyDescent="0.3">
      <c r="C65" s="768" t="s">
        <v>292</v>
      </c>
      <c r="D65" s="413">
        <v>2419.56</v>
      </c>
      <c r="E65" s="768">
        <v>1</v>
      </c>
      <c r="G65" s="412"/>
      <c r="H65" s="258"/>
    </row>
    <row r="66" spans="2:9" x14ac:dyDescent="0.3">
      <c r="C66" s="768" t="s">
        <v>293</v>
      </c>
      <c r="D66" s="413">
        <v>6912.62</v>
      </c>
      <c r="E66" s="768">
        <v>1</v>
      </c>
      <c r="G66" s="412"/>
      <c r="H66" s="258"/>
    </row>
    <row r="67" spans="2:9" x14ac:dyDescent="0.3">
      <c r="C67" s="768" t="s">
        <v>294</v>
      </c>
      <c r="D67" s="413">
        <v>17889.3</v>
      </c>
      <c r="E67" s="768">
        <v>1</v>
      </c>
      <c r="F67" s="768">
        <v>5</v>
      </c>
      <c r="G67" s="412">
        <f t="shared" ref="G67" si="13">D67*E67*H67</f>
        <v>3577.86</v>
      </c>
      <c r="H67" s="258">
        <f t="shared" ref="H67" si="14">1/F67</f>
        <v>0.2</v>
      </c>
      <c r="I67" s="258">
        <f>H67</f>
        <v>0.2</v>
      </c>
    </row>
    <row r="68" spans="2:9" x14ac:dyDescent="0.3">
      <c r="C68" s="768" t="s">
        <v>295</v>
      </c>
      <c r="D68" s="413">
        <v>18590</v>
      </c>
      <c r="E68" s="768">
        <v>1</v>
      </c>
      <c r="G68" s="412"/>
      <c r="H68" s="258"/>
    </row>
    <row r="69" spans="2:9" x14ac:dyDescent="0.3">
      <c r="B69" s="768" t="s">
        <v>425</v>
      </c>
      <c r="D69" s="413"/>
      <c r="G69" s="412"/>
      <c r="H69" s="258"/>
    </row>
    <row r="70" spans="2:9" x14ac:dyDescent="0.3">
      <c r="C70" s="768" t="s">
        <v>34</v>
      </c>
      <c r="D70" s="413">
        <v>25740</v>
      </c>
      <c r="E70" s="768">
        <v>1</v>
      </c>
      <c r="F70" s="768">
        <v>10</v>
      </c>
      <c r="G70" s="412">
        <f t="shared" ref="G70:G72" si="15">D70*E70*H70</f>
        <v>2574</v>
      </c>
      <c r="H70" s="258">
        <f t="shared" ref="H70:H72" si="16">1/F70</f>
        <v>0.1</v>
      </c>
      <c r="I70" s="258">
        <f>H70</f>
        <v>0.1</v>
      </c>
    </row>
    <row r="71" spans="2:9" x14ac:dyDescent="0.3">
      <c r="C71" s="768" t="s">
        <v>39</v>
      </c>
      <c r="D71" s="413">
        <v>15027.869999999999</v>
      </c>
      <c r="E71" s="768">
        <v>1</v>
      </c>
      <c r="F71" s="768">
        <v>7.5</v>
      </c>
      <c r="G71" s="412">
        <f t="shared" si="15"/>
        <v>2003.7159999999999</v>
      </c>
      <c r="H71" s="258">
        <f t="shared" si="16"/>
        <v>0.13333333333333333</v>
      </c>
      <c r="I71" s="258">
        <f>H71</f>
        <v>0.13333333333333333</v>
      </c>
    </row>
    <row r="72" spans="2:9" x14ac:dyDescent="0.3">
      <c r="C72" s="768" t="s">
        <v>41</v>
      </c>
      <c r="D72" s="413">
        <v>42900</v>
      </c>
      <c r="E72" s="768">
        <v>1</v>
      </c>
      <c r="F72" s="768">
        <v>15</v>
      </c>
      <c r="G72" s="412">
        <f t="shared" si="15"/>
        <v>2860</v>
      </c>
      <c r="H72" s="258">
        <f t="shared" si="16"/>
        <v>6.6666666666666666E-2</v>
      </c>
      <c r="I72" s="258">
        <f>H72</f>
        <v>6.6666666666666666E-2</v>
      </c>
    </row>
    <row r="73" spans="2:9" x14ac:dyDescent="0.3">
      <c r="B73" s="768" t="s">
        <v>426</v>
      </c>
      <c r="D73" s="413"/>
      <c r="G73" s="412"/>
      <c r="H73" s="258"/>
    </row>
    <row r="74" spans="2:9" x14ac:dyDescent="0.3">
      <c r="C74" s="768" t="s">
        <v>43</v>
      </c>
      <c r="D74" s="413">
        <v>88000</v>
      </c>
      <c r="E74" s="768">
        <v>1</v>
      </c>
      <c r="F74" s="768">
        <v>10</v>
      </c>
      <c r="G74" s="412">
        <f t="shared" ref="G74:G76" si="17">D74*E74*H74</f>
        <v>8800</v>
      </c>
      <c r="H74" s="258">
        <f t="shared" ref="H74:H76" si="18">1/F74</f>
        <v>0.1</v>
      </c>
    </row>
    <row r="75" spans="2:9" x14ac:dyDescent="0.3">
      <c r="C75" s="768" t="s">
        <v>427</v>
      </c>
      <c r="D75" s="413">
        <v>472297.5</v>
      </c>
      <c r="E75" s="768">
        <v>1</v>
      </c>
      <c r="F75" s="768">
        <v>50</v>
      </c>
      <c r="G75" s="412">
        <f t="shared" si="17"/>
        <v>9445.9500000000007</v>
      </c>
      <c r="H75" s="258">
        <f t="shared" si="18"/>
        <v>0.02</v>
      </c>
      <c r="I75" s="258">
        <f>H75</f>
        <v>0.02</v>
      </c>
    </row>
    <row r="76" spans="2:9" x14ac:dyDescent="0.3">
      <c r="C76" s="768" t="s">
        <v>434</v>
      </c>
      <c r="D76" s="413">
        <v>65452.53</v>
      </c>
      <c r="E76" s="768">
        <v>1</v>
      </c>
      <c r="F76" s="768">
        <v>10</v>
      </c>
      <c r="G76" s="412">
        <f t="shared" si="17"/>
        <v>6545.2530000000006</v>
      </c>
      <c r="H76" s="258">
        <f t="shared" si="18"/>
        <v>0.1</v>
      </c>
    </row>
    <row r="77" spans="2:9" x14ac:dyDescent="0.3">
      <c r="D77" s="413"/>
      <c r="G77" s="412"/>
    </row>
    <row r="78" spans="2:9" x14ac:dyDescent="0.3">
      <c r="B78" s="298" t="s">
        <v>81</v>
      </c>
      <c r="C78" s="298"/>
      <c r="D78" s="104">
        <f>SUM(D59:D76)</f>
        <v>806580.68</v>
      </c>
      <c r="E78" s="298"/>
      <c r="F78" s="298"/>
      <c r="G78" s="179">
        <f>SUM(G59:G76)</f>
        <v>39208.749000000003</v>
      </c>
      <c r="H78" s="596">
        <f>SUM(H59:H76)</f>
        <v>1.22</v>
      </c>
      <c r="I78" s="597">
        <f>SUM(I59:I76)</f>
        <v>0.64500000000000002</v>
      </c>
    </row>
    <row r="79" spans="2:9" x14ac:dyDescent="0.3">
      <c r="D79" s="413"/>
      <c r="E79" s="598"/>
      <c r="F79" s="598"/>
      <c r="G79" s="598"/>
      <c r="H79" s="599"/>
    </row>
    <row r="80" spans="2:9" x14ac:dyDescent="0.3">
      <c r="B80" s="490" t="s">
        <v>416</v>
      </c>
      <c r="C80" s="490"/>
      <c r="D80" s="601">
        <f>G78/E32</f>
        <v>105.11728954423593</v>
      </c>
      <c r="E80" s="598"/>
      <c r="F80" s="598"/>
      <c r="G80" s="600"/>
      <c r="H80" s="598"/>
    </row>
    <row r="81" spans="1:12" x14ac:dyDescent="0.3">
      <c r="E81" s="419"/>
      <c r="F81" s="419"/>
      <c r="G81" s="419"/>
      <c r="H81" s="419"/>
    </row>
    <row r="82" spans="1:12" x14ac:dyDescent="0.3">
      <c r="B82" s="768" t="s">
        <v>438</v>
      </c>
      <c r="D82" s="47">
        <v>0.97299999999999998</v>
      </c>
      <c r="E82" s="419"/>
      <c r="F82" s="419"/>
      <c r="G82" s="419"/>
      <c r="H82" s="419"/>
    </row>
    <row r="83" spans="1:12" x14ac:dyDescent="0.3">
      <c r="D83" s="47"/>
      <c r="E83" s="419"/>
      <c r="F83" s="419"/>
      <c r="G83" s="419"/>
      <c r="H83" s="419"/>
    </row>
    <row r="84" spans="1:12" x14ac:dyDescent="0.3">
      <c r="A84" s="611" t="s">
        <v>439</v>
      </c>
      <c r="E84" s="95" t="s">
        <v>260</v>
      </c>
      <c r="F84" s="400" t="s">
        <v>66</v>
      </c>
      <c r="G84" s="400"/>
      <c r="H84" s="400"/>
    </row>
    <row r="85" spans="1:12" x14ac:dyDescent="0.3">
      <c r="D85" s="469">
        <v>1</v>
      </c>
      <c r="E85" s="107">
        <v>10</v>
      </c>
      <c r="F85" s="107">
        <v>50</v>
      </c>
      <c r="G85" s="107">
        <v>100</v>
      </c>
      <c r="H85" s="402"/>
    </row>
    <row r="86" spans="1:12" x14ac:dyDescent="0.3">
      <c r="B86" s="298" t="s">
        <v>81</v>
      </c>
      <c r="C86" s="298"/>
      <c r="D86" s="179">
        <f>G54</f>
        <v>64306.653333333335</v>
      </c>
      <c r="E86" s="104">
        <f>$D$86*E85^(LOG10($D$82)/LOG10(2))</f>
        <v>58717.508402299063</v>
      </c>
      <c r="F86" s="104">
        <f>$D$86*F85^(LOG10($D$82)/LOG10(2))</f>
        <v>55101.889112441197</v>
      </c>
      <c r="G86" s="104">
        <f>G78</f>
        <v>39208.749000000003</v>
      </c>
      <c r="H86" s="399"/>
    </row>
    <row r="88" spans="1:12" x14ac:dyDescent="0.3">
      <c r="E88" s="474"/>
    </row>
    <row r="90" spans="1:12" x14ac:dyDescent="0.3">
      <c r="A90" s="611" t="s">
        <v>149</v>
      </c>
    </row>
    <row r="91" spans="1:12" x14ac:dyDescent="0.3">
      <c r="A91" s="768">
        <v>2.5</v>
      </c>
      <c r="B91" s="768" t="s">
        <v>475</v>
      </c>
    </row>
    <row r="92" spans="1:12" x14ac:dyDescent="0.3">
      <c r="K92" s="419"/>
      <c r="L92" s="419"/>
    </row>
    <row r="93" spans="1:12" x14ac:dyDescent="0.3">
      <c r="B93" s="208"/>
      <c r="C93" s="208"/>
      <c r="D93" s="208"/>
      <c r="E93" s="209"/>
      <c r="F93" s="30"/>
      <c r="G93" s="30"/>
      <c r="H93" s="30"/>
      <c r="I93" s="30"/>
      <c r="J93" s="30"/>
      <c r="K93" s="210"/>
      <c r="L93" s="83"/>
    </row>
    <row r="94" spans="1:12" x14ac:dyDescent="0.3">
      <c r="A94" s="611" t="s">
        <v>213</v>
      </c>
      <c r="B94" s="208"/>
      <c r="C94" s="208"/>
      <c r="D94" s="208"/>
      <c r="E94" s="209"/>
      <c r="F94" s="30"/>
      <c r="G94" s="30"/>
      <c r="H94" s="30"/>
      <c r="I94" s="30"/>
      <c r="J94" s="30"/>
      <c r="K94" s="210"/>
      <c r="L94" s="83"/>
    </row>
    <row r="95" spans="1:12" x14ac:dyDescent="0.3">
      <c r="A95" s="768">
        <v>2.5</v>
      </c>
      <c r="B95" s="492" t="s">
        <v>285</v>
      </c>
      <c r="C95" s="492"/>
      <c r="D95" s="492"/>
      <c r="E95" s="492"/>
      <c r="F95" s="30"/>
      <c r="G95" s="30"/>
      <c r="H95" s="30"/>
      <c r="I95" s="30"/>
      <c r="J95" s="30"/>
      <c r="K95" s="210"/>
      <c r="L95" s="83"/>
    </row>
    <row r="96" spans="1:12" x14ac:dyDescent="0.3">
      <c r="B96" s="492"/>
      <c r="C96" s="492"/>
      <c r="D96" s="492"/>
      <c r="E96" s="492"/>
      <c r="F96" s="30"/>
      <c r="G96" s="30"/>
      <c r="H96" s="30"/>
      <c r="I96" s="30"/>
      <c r="J96" s="30"/>
      <c r="K96" s="210"/>
      <c r="L96" s="83"/>
    </row>
    <row r="97" spans="1:12" x14ac:dyDescent="0.3">
      <c r="B97" s="492"/>
      <c r="C97" s="492"/>
      <c r="D97" s="492"/>
      <c r="E97" s="492"/>
      <c r="F97" s="30"/>
      <c r="G97" s="30"/>
      <c r="H97" s="30"/>
      <c r="I97" s="30"/>
      <c r="J97" s="30"/>
      <c r="K97" s="210"/>
      <c r="L97" s="83"/>
    </row>
    <row r="98" spans="1:12" x14ac:dyDescent="0.3">
      <c r="B98" s="492"/>
      <c r="C98" s="492"/>
      <c r="D98" s="492"/>
      <c r="E98" s="492"/>
      <c r="F98" s="30"/>
      <c r="G98" s="30"/>
      <c r="H98" s="30"/>
      <c r="I98" s="30"/>
      <c r="J98" s="30"/>
      <c r="K98" s="210"/>
      <c r="L98" s="83"/>
    </row>
    <row r="99" spans="1:12" x14ac:dyDescent="0.3">
      <c r="A99" s="23"/>
      <c r="B99" s="492"/>
      <c r="C99" s="492"/>
      <c r="D99" s="492"/>
      <c r="E99" s="492"/>
      <c r="F99" s="30"/>
      <c r="G99" s="30"/>
      <c r="H99" s="30"/>
      <c r="I99" s="30"/>
      <c r="J99" s="30"/>
      <c r="K99" s="210"/>
      <c r="L99" s="83"/>
    </row>
    <row r="100" spans="1:12" x14ac:dyDescent="0.3">
      <c r="B100" s="492"/>
      <c r="C100" s="492"/>
      <c r="D100" s="492"/>
      <c r="E100" s="492"/>
      <c r="F100" s="30"/>
      <c r="G100" s="30"/>
      <c r="H100" s="30"/>
      <c r="I100" s="30"/>
      <c r="J100" s="30"/>
      <c r="K100" s="210"/>
      <c r="L100" s="83"/>
    </row>
    <row r="101" spans="1:12" x14ac:dyDescent="0.3">
      <c r="B101" s="492"/>
      <c r="C101" s="492"/>
      <c r="D101" s="492"/>
      <c r="E101" s="492"/>
      <c r="F101" s="30"/>
      <c r="G101" s="30"/>
      <c r="H101" s="30"/>
      <c r="I101" s="30"/>
      <c r="J101" s="30"/>
      <c r="K101" s="210"/>
      <c r="L101" s="83"/>
    </row>
    <row r="102" spans="1:12" x14ac:dyDescent="0.3">
      <c r="B102" s="492"/>
      <c r="C102" s="492"/>
      <c r="D102" s="492"/>
      <c r="E102" s="492"/>
      <c r="F102" s="30"/>
      <c r="G102" s="30"/>
      <c r="H102" s="30"/>
      <c r="I102" s="30"/>
      <c r="J102" s="30"/>
      <c r="K102" s="210"/>
      <c r="L102" s="83"/>
    </row>
    <row r="103" spans="1:12" x14ac:dyDescent="0.3">
      <c r="B103" s="492"/>
      <c r="C103" s="492"/>
      <c r="D103" s="492"/>
      <c r="E103" s="492"/>
      <c r="F103" s="30"/>
      <c r="G103" s="30"/>
      <c r="H103" s="30"/>
      <c r="I103" s="30"/>
      <c r="J103" s="30"/>
      <c r="K103" s="210"/>
      <c r="L103" s="83"/>
    </row>
    <row r="104" spans="1:12" x14ac:dyDescent="0.3">
      <c r="B104" s="492"/>
      <c r="C104" s="492"/>
      <c r="D104" s="492"/>
      <c r="E104" s="492"/>
      <c r="F104" s="30"/>
      <c r="G104" s="30"/>
      <c r="H104" s="30"/>
      <c r="I104" s="30"/>
      <c r="J104" s="30"/>
      <c r="K104" s="210"/>
      <c r="L104" s="83"/>
    </row>
    <row r="105" spans="1:12" x14ac:dyDescent="0.3">
      <c r="B105" s="492"/>
      <c r="C105" s="492"/>
      <c r="D105" s="492"/>
      <c r="E105" s="492"/>
      <c r="F105" s="30"/>
      <c r="G105" s="30"/>
      <c r="H105" s="30"/>
      <c r="I105" s="30"/>
      <c r="J105" s="30"/>
      <c r="K105" s="210"/>
      <c r="L105" s="83"/>
    </row>
    <row r="106" spans="1:12" x14ac:dyDescent="0.3">
      <c r="B106" s="492"/>
      <c r="C106" s="492"/>
      <c r="D106" s="492"/>
      <c r="E106" s="492"/>
      <c r="F106" s="30"/>
      <c r="G106" s="30"/>
      <c r="H106" s="30"/>
      <c r="I106" s="30"/>
      <c r="J106" s="30"/>
      <c r="K106" s="210"/>
      <c r="L106" s="83"/>
    </row>
    <row r="107" spans="1:12" x14ac:dyDescent="0.3">
      <c r="D107" s="490"/>
      <c r="E107" s="490"/>
      <c r="F107" s="446"/>
      <c r="G107" s="446"/>
      <c r="H107" s="446"/>
      <c r="I107" s="446"/>
      <c r="J107" s="446"/>
      <c r="K107" s="446"/>
      <c r="L107" s="25"/>
    </row>
  </sheetData>
  <mergeCells count="1">
    <mergeCell ref="E3:H3"/>
  </mergeCells>
  <dataValidations disablePrompts="1" count="2">
    <dataValidation type="list" showInputMessage="1" showErrorMessage="1" sqref="E93:E106">
      <formula1>$V$4:$V$88</formula1>
    </dataValidation>
    <dataValidation type="list" showInputMessage="1" showErrorMessage="1" sqref="O10:O22">
      <formula1>$E$4:$E$16</formula1>
    </dataValidation>
  </dataValidations>
  <hyperlinks>
    <hyperlink ref="K2" r:id="rId1" location="images_top"/>
    <hyperlink ref="K3" r:id="rId2"/>
  </hyperlinks>
  <pageMargins left="0.7" right="0.7" top="0.75" bottom="0.75" header="0.3" footer="0.3"/>
  <pageSetup orientation="portrait" horizontalDpi="4294967293"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Q81"/>
  <sheetViews>
    <sheetView topLeftCell="A7" zoomScale="90" zoomScaleNormal="90" zoomScalePageLayoutView="70" workbookViewId="0">
      <selection activeCell="A28" sqref="A28"/>
    </sheetView>
  </sheetViews>
  <sheetFormatPr defaultColWidth="8.88671875" defaultRowHeight="14.4" x14ac:dyDescent="0.3"/>
  <cols>
    <col min="1" max="1" width="4.6640625" customWidth="1"/>
    <col min="2" max="2" width="5.88671875" customWidth="1"/>
    <col min="3" max="3" width="20.33203125" customWidth="1"/>
    <col min="4" max="4" width="14.44140625" customWidth="1"/>
    <col min="5" max="6" width="9" bestFit="1" customWidth="1"/>
    <col min="7" max="7" width="12.109375" bestFit="1" customWidth="1"/>
    <col min="8" max="8" width="14.33203125" style="70" bestFit="1" customWidth="1"/>
    <col min="9" max="9" width="20" style="70" customWidth="1"/>
    <col min="10" max="10" width="14.44140625" style="70" customWidth="1"/>
    <col min="11" max="11" width="13.109375" customWidth="1"/>
    <col min="12" max="12" width="14.44140625" customWidth="1"/>
    <col min="13" max="13" width="17.109375" customWidth="1"/>
    <col min="14" max="14" width="20" customWidth="1"/>
    <col min="15" max="15" width="14.88671875" customWidth="1"/>
    <col min="16" max="16" width="13.33203125" customWidth="1"/>
    <col min="17" max="17" width="10.6640625" customWidth="1"/>
    <col min="18" max="18" width="11.44140625" customWidth="1"/>
    <col min="19" max="19" width="12.6640625" customWidth="1"/>
    <col min="20" max="20" width="12.44140625" customWidth="1"/>
    <col min="21" max="21" width="11.44140625" customWidth="1"/>
    <col min="22" max="22" width="16.109375" customWidth="1"/>
    <col min="23" max="23" width="13.6640625" customWidth="1"/>
  </cols>
  <sheetData>
    <row r="1" spans="1:11" ht="15" x14ac:dyDescent="0.25">
      <c r="A1" s="439" t="s">
        <v>374</v>
      </c>
      <c r="C1" s="37"/>
      <c r="D1" s="37"/>
      <c r="E1" s="37"/>
      <c r="F1" s="37"/>
    </row>
    <row r="2" spans="1:11" s="70" customFormat="1" ht="15" x14ac:dyDescent="0.25">
      <c r="A2" s="59"/>
      <c r="I2" s="106"/>
      <c r="J2" s="611"/>
      <c r="K2" s="106"/>
    </row>
    <row r="3" spans="1:11" ht="15" x14ac:dyDescent="0.25">
      <c r="E3" s="1003" t="s">
        <v>142</v>
      </c>
      <c r="F3" s="1003"/>
      <c r="G3" s="1003"/>
      <c r="H3" s="1003"/>
      <c r="J3" s="768"/>
      <c r="K3" s="106"/>
    </row>
    <row r="4" spans="1:11" ht="15" x14ac:dyDescent="0.25">
      <c r="A4" s="59" t="s">
        <v>110</v>
      </c>
      <c r="E4" s="46">
        <v>1</v>
      </c>
      <c r="F4" s="46">
        <v>10</v>
      </c>
      <c r="G4" s="46">
        <v>50</v>
      </c>
      <c r="H4" s="46">
        <v>100</v>
      </c>
      <c r="I4" s="63"/>
      <c r="J4" s="419"/>
      <c r="K4" s="778"/>
    </row>
    <row r="5" spans="1:11" ht="15" x14ac:dyDescent="0.25">
      <c r="B5">
        <v>2.5</v>
      </c>
      <c r="C5" t="s">
        <v>56</v>
      </c>
      <c r="E5" s="41">
        <f>D51</f>
        <v>46759.067066479402</v>
      </c>
      <c r="F5" s="408">
        <f>E51</f>
        <v>42695.052083148934</v>
      </c>
      <c r="G5" s="408">
        <f>F51</f>
        <v>40066.039747753668</v>
      </c>
      <c r="H5" s="408">
        <f>G51</f>
        <v>68306.620906394659</v>
      </c>
      <c r="I5" s="45"/>
      <c r="J5" s="400"/>
      <c r="K5" s="768"/>
    </row>
    <row r="7" spans="1:11" s="489" customFormat="1" ht="15" x14ac:dyDescent="0.25"/>
    <row r="8" spans="1:11" s="489" customFormat="1" ht="15" x14ac:dyDescent="0.25"/>
    <row r="9" spans="1:11" s="489" customFormat="1" ht="15" x14ac:dyDescent="0.25">
      <c r="A9" s="439" t="s">
        <v>770</v>
      </c>
      <c r="E9" s="436">
        <v>373</v>
      </c>
      <c r="F9" s="439" t="s">
        <v>140</v>
      </c>
    </row>
    <row r="10" spans="1:11" s="489" customFormat="1" ht="15" x14ac:dyDescent="0.25"/>
    <row r="11" spans="1:11" s="489" customFormat="1" ht="15" x14ac:dyDescent="0.25">
      <c r="B11" s="489" t="s">
        <v>495</v>
      </c>
      <c r="D11" s="419" t="s">
        <v>428</v>
      </c>
      <c r="E11" s="419" t="s">
        <v>142</v>
      </c>
      <c r="F11" s="419" t="s">
        <v>429</v>
      </c>
      <c r="G11" s="419" t="s">
        <v>430</v>
      </c>
      <c r="H11" s="419" t="s">
        <v>431</v>
      </c>
      <c r="I11" s="419" t="s">
        <v>435</v>
      </c>
    </row>
    <row r="12" spans="1:11" s="489" customFormat="1" ht="15" x14ac:dyDescent="0.25">
      <c r="C12" s="489" t="s">
        <v>737</v>
      </c>
      <c r="D12" s="379">
        <f>'1.5'!L54</f>
        <v>11003.546</v>
      </c>
      <c r="E12" s="814">
        <f>'1.5'!H54</f>
        <v>5</v>
      </c>
      <c r="F12" s="489">
        <v>8</v>
      </c>
      <c r="G12" s="65">
        <f>D12*E12*H12</f>
        <v>6877.2162500000004</v>
      </c>
      <c r="H12" s="258">
        <f>1/F12</f>
        <v>0.125</v>
      </c>
      <c r="I12" s="258">
        <f>H12</f>
        <v>0.125</v>
      </c>
    </row>
    <row r="13" spans="1:11" s="489" customFormat="1" ht="15" x14ac:dyDescent="0.25">
      <c r="C13" s="489" t="s">
        <v>733</v>
      </c>
      <c r="D13" s="379">
        <f>'1.5'!G8/('1.5'!H58+'1.5'!H59)</f>
        <v>5342.4533333333338</v>
      </c>
      <c r="E13" s="814">
        <f>'1.5'!H58+'1.5'!H59</f>
        <v>6</v>
      </c>
      <c r="F13" s="489">
        <v>10</v>
      </c>
      <c r="G13" s="65">
        <f>D13*E13*H13</f>
        <v>3205.4720000000002</v>
      </c>
      <c r="H13" s="258">
        <f t="shared" ref="H13:H14" si="0">1/F13</f>
        <v>0.1</v>
      </c>
      <c r="I13" s="258">
        <f t="shared" ref="I13:I14" si="1">H13</f>
        <v>0.1</v>
      </c>
    </row>
    <row r="14" spans="1:11" s="489" customFormat="1" ht="15" x14ac:dyDescent="0.25">
      <c r="C14" s="491" t="s">
        <v>769</v>
      </c>
      <c r="D14" s="379">
        <f>'1.5'!G9</f>
        <v>1400</v>
      </c>
      <c r="E14" s="815">
        <v>1</v>
      </c>
      <c r="F14" s="491">
        <v>10</v>
      </c>
      <c r="G14" s="812">
        <f t="shared" ref="G14:G22" si="2">D14*E14*H14</f>
        <v>140</v>
      </c>
      <c r="H14" s="813">
        <f t="shared" si="0"/>
        <v>0.1</v>
      </c>
      <c r="I14" s="813">
        <f t="shared" si="1"/>
        <v>0.1</v>
      </c>
    </row>
    <row r="15" spans="1:11" s="489" customFormat="1" ht="15" x14ac:dyDescent="0.25">
      <c r="C15" s="491"/>
      <c r="D15" s="173"/>
      <c r="E15" s="815"/>
      <c r="F15" s="491"/>
      <c r="G15" s="812"/>
      <c r="H15" s="813"/>
      <c r="I15" s="491"/>
    </row>
    <row r="16" spans="1:11" s="489" customFormat="1" ht="15" x14ac:dyDescent="0.25">
      <c r="B16" s="489" t="s">
        <v>425</v>
      </c>
      <c r="D16" s="173"/>
      <c r="E16" s="801"/>
      <c r="G16" s="65"/>
      <c r="H16" s="258"/>
    </row>
    <row r="17" spans="1:17" s="489" customFormat="1" ht="15" x14ac:dyDescent="0.25">
      <c r="C17" s="489" t="s">
        <v>34</v>
      </c>
      <c r="D17" s="379">
        <f>'1.5'!G10</f>
        <v>35000</v>
      </c>
      <c r="E17" s="801">
        <v>1</v>
      </c>
      <c r="F17" s="489">
        <v>10</v>
      </c>
      <c r="G17" s="65">
        <f t="shared" si="2"/>
        <v>3500</v>
      </c>
      <c r="H17" s="258">
        <f t="shared" ref="H17:H18" si="3">1/F17</f>
        <v>0.1</v>
      </c>
      <c r="I17" s="258">
        <f>H17</f>
        <v>0.1</v>
      </c>
    </row>
    <row r="18" spans="1:17" s="489" customFormat="1" ht="15" x14ac:dyDescent="0.25">
      <c r="C18" s="489" t="s">
        <v>738</v>
      </c>
      <c r="D18" s="379">
        <f>'1.5'!G11</f>
        <v>40000</v>
      </c>
      <c r="E18" s="801">
        <v>1</v>
      </c>
      <c r="F18" s="489">
        <v>7.5</v>
      </c>
      <c r="G18" s="65">
        <f t="shared" si="2"/>
        <v>5333.333333333333</v>
      </c>
      <c r="H18" s="258">
        <f t="shared" si="3"/>
        <v>0.13333333333333333</v>
      </c>
      <c r="I18" s="258">
        <f>H18</f>
        <v>0.13333333333333333</v>
      </c>
      <c r="M18"/>
      <c r="N18"/>
      <c r="O18"/>
      <c r="P18"/>
      <c r="Q18"/>
    </row>
    <row r="19" spans="1:17" s="489" customFormat="1" ht="15" x14ac:dyDescent="0.25">
      <c r="D19" s="173"/>
      <c r="E19" s="801"/>
      <c r="G19" s="65"/>
      <c r="H19" s="258"/>
      <c r="I19" s="258"/>
      <c r="M19"/>
      <c r="N19"/>
      <c r="O19"/>
      <c r="P19"/>
      <c r="Q19"/>
    </row>
    <row r="20" spans="1:17" s="489" customFormat="1" ht="15" x14ac:dyDescent="0.25">
      <c r="B20" s="489" t="s">
        <v>426</v>
      </c>
      <c r="D20" s="173"/>
      <c r="E20" s="801"/>
      <c r="G20" s="65"/>
      <c r="H20" s="258"/>
      <c r="M20"/>
      <c r="N20"/>
      <c r="O20"/>
      <c r="P20"/>
      <c r="Q20"/>
    </row>
    <row r="21" spans="1:17" s="489" customFormat="1" ht="15" x14ac:dyDescent="0.25">
      <c r="C21" s="489" t="s">
        <v>43</v>
      </c>
      <c r="D21" s="379">
        <f>'1.2'!D37</f>
        <v>110000</v>
      </c>
      <c r="E21" s="801">
        <v>1</v>
      </c>
      <c r="F21" s="489">
        <v>10</v>
      </c>
      <c r="G21" s="65">
        <f t="shared" si="2"/>
        <v>11000</v>
      </c>
      <c r="H21" s="258">
        <f t="shared" ref="H21:H22" si="4">1/F21</f>
        <v>0.1</v>
      </c>
      <c r="M21" s="70"/>
      <c r="N21" s="70"/>
      <c r="O21" s="70"/>
      <c r="P21" s="70"/>
      <c r="Q21" s="70"/>
    </row>
    <row r="22" spans="1:17" s="489" customFormat="1" ht="15" x14ac:dyDescent="0.25">
      <c r="C22" s="489" t="s">
        <v>427</v>
      </c>
      <c r="D22" s="379">
        <f>'1.3'!E10</f>
        <v>835152.27415730339</v>
      </c>
      <c r="E22" s="801">
        <v>1</v>
      </c>
      <c r="F22" s="489">
        <v>50</v>
      </c>
      <c r="G22" s="65">
        <f t="shared" si="2"/>
        <v>16703.045483146067</v>
      </c>
      <c r="H22" s="258">
        <f t="shared" si="4"/>
        <v>0.02</v>
      </c>
      <c r="I22" s="258">
        <f>H22</f>
        <v>0.02</v>
      </c>
      <c r="M22" s="70"/>
      <c r="N22" s="70"/>
      <c r="O22" s="70"/>
      <c r="P22" s="70"/>
      <c r="Q22" s="70"/>
    </row>
    <row r="23" spans="1:17" ht="15" x14ac:dyDescent="0.25">
      <c r="A23" s="489"/>
      <c r="B23" s="489"/>
      <c r="C23" s="489"/>
      <c r="D23" s="413"/>
      <c r="E23" s="489"/>
      <c r="F23" s="489"/>
      <c r="G23" s="412"/>
      <c r="H23" s="258"/>
      <c r="I23" s="489"/>
      <c r="M23" s="70"/>
      <c r="N23" s="70"/>
      <c r="O23" s="70"/>
      <c r="P23" s="70"/>
      <c r="Q23" s="70"/>
    </row>
    <row r="24" spans="1:17" ht="15" x14ac:dyDescent="0.25">
      <c r="A24" s="489"/>
      <c r="B24" s="489"/>
      <c r="C24" s="489"/>
      <c r="D24" s="489"/>
      <c r="E24" s="489"/>
      <c r="F24" s="489"/>
      <c r="G24" s="412"/>
      <c r="H24" s="489"/>
      <c r="I24" s="489"/>
      <c r="M24" s="70"/>
      <c r="N24" s="70"/>
      <c r="O24" s="70"/>
      <c r="P24" s="70"/>
      <c r="Q24" s="70"/>
    </row>
    <row r="25" spans="1:17" ht="15" x14ac:dyDescent="0.25">
      <c r="A25" s="489"/>
      <c r="B25" s="298" t="s">
        <v>81</v>
      </c>
      <c r="C25" s="298"/>
      <c r="D25" s="298"/>
      <c r="E25" s="298"/>
      <c r="F25" s="298"/>
      <c r="G25" s="179">
        <f>SUM(G12:G23)</f>
        <v>46759.067066479402</v>
      </c>
      <c r="H25" s="596">
        <f>SUM(H12:H23)</f>
        <v>0.67833333333333334</v>
      </c>
      <c r="I25" s="597">
        <f>SUM(I12:I23)</f>
        <v>0.57833333333333337</v>
      </c>
    </row>
    <row r="26" spans="1:17" s="70" customFormat="1" ht="15" x14ac:dyDescent="0.25">
      <c r="B26" s="398"/>
      <c r="E26" s="401"/>
      <c r="F26" s="401"/>
      <c r="G26" s="401"/>
      <c r="H26" s="401"/>
      <c r="I26" s="394"/>
      <c r="J26" s="394"/>
    </row>
    <row r="27" spans="1:17" s="489" customFormat="1" ht="15" x14ac:dyDescent="0.25">
      <c r="A27" s="439" t="s">
        <v>889</v>
      </c>
      <c r="E27" s="419"/>
      <c r="F27" s="419"/>
      <c r="G27" s="419"/>
      <c r="H27" s="419"/>
    </row>
    <row r="28" spans="1:17" s="489" customFormat="1" ht="15.75" thickBot="1" x14ac:dyDescent="0.3">
      <c r="B28" s="611"/>
      <c r="C28" s="611"/>
      <c r="D28" s="611"/>
      <c r="E28" s="90"/>
      <c r="F28" s="90"/>
      <c r="G28" s="90"/>
      <c r="H28" s="90"/>
    </row>
    <row r="29" spans="1:17" s="489" customFormat="1" ht="15.75" thickBot="1" x14ac:dyDescent="0.3">
      <c r="B29" s="877" t="s">
        <v>768</v>
      </c>
      <c r="C29" s="878"/>
      <c r="D29" s="879" t="s">
        <v>428</v>
      </c>
      <c r="E29" s="879" t="s">
        <v>142</v>
      </c>
      <c r="F29" s="879" t="s">
        <v>429</v>
      </c>
      <c r="G29" s="879" t="s">
        <v>430</v>
      </c>
      <c r="H29" s="880" t="s">
        <v>431</v>
      </c>
      <c r="I29" s="419" t="s">
        <v>435</v>
      </c>
    </row>
    <row r="30" spans="1:17" s="489" customFormat="1" ht="15" x14ac:dyDescent="0.25">
      <c r="B30" s="866"/>
      <c r="C30" s="490" t="s">
        <v>737</v>
      </c>
      <c r="D30" s="204">
        <f>'1.5'!H7/'1.5'!H3</f>
        <v>32065.455533707143</v>
      </c>
      <c r="E30" s="867">
        <f>'1.5'!H54</f>
        <v>5</v>
      </c>
      <c r="F30" s="490">
        <v>8</v>
      </c>
      <c r="G30" s="594">
        <f>D30*E30*H30</f>
        <v>20040.909708566964</v>
      </c>
      <c r="H30" s="868">
        <f>1/F30</f>
        <v>0.125</v>
      </c>
      <c r="I30" s="258">
        <f>H30</f>
        <v>0.125</v>
      </c>
    </row>
    <row r="31" spans="1:17" s="489" customFormat="1" ht="15" x14ac:dyDescent="0.25">
      <c r="B31" s="866"/>
      <c r="C31" s="490" t="s">
        <v>733</v>
      </c>
      <c r="D31" s="204">
        <f>'1.5'!H8/'1.5'!H3</f>
        <v>27760.201831181312</v>
      </c>
      <c r="E31" s="867">
        <f>'1.5'!H58+'1.5'!H59</f>
        <v>6</v>
      </c>
      <c r="F31" s="490">
        <v>10</v>
      </c>
      <c r="G31" s="594">
        <f t="shared" ref="G31:G32" si="5">D31*E31*H31</f>
        <v>16656.121098708787</v>
      </c>
      <c r="H31" s="868">
        <f t="shared" ref="H31:H32" si="6">1/F31</f>
        <v>0.1</v>
      </c>
      <c r="I31" s="258">
        <f t="shared" ref="I31:I32" si="7">H31</f>
        <v>0.1</v>
      </c>
    </row>
    <row r="32" spans="1:17" s="489" customFormat="1" x14ac:dyDescent="0.3">
      <c r="B32" s="866"/>
      <c r="C32" s="492" t="s">
        <v>769</v>
      </c>
      <c r="D32" s="366">
        <f>'1.5'!H9/'1.5'!H3</f>
        <v>1180.6670801637722</v>
      </c>
      <c r="E32" s="279">
        <v>1</v>
      </c>
      <c r="F32" s="492">
        <v>10</v>
      </c>
      <c r="G32" s="785">
        <f t="shared" si="5"/>
        <v>118.06670801637722</v>
      </c>
      <c r="H32" s="869">
        <f t="shared" si="6"/>
        <v>0.1</v>
      </c>
      <c r="I32" s="813">
        <f t="shared" si="7"/>
        <v>0.1</v>
      </c>
    </row>
    <row r="33" spans="2:10" s="489" customFormat="1" x14ac:dyDescent="0.3">
      <c r="B33" s="866"/>
      <c r="C33" s="490"/>
      <c r="D33" s="204"/>
      <c r="E33" s="870"/>
      <c r="F33" s="490"/>
      <c r="G33" s="594"/>
      <c r="H33" s="868"/>
    </row>
    <row r="34" spans="2:10" s="489" customFormat="1" x14ac:dyDescent="0.3">
      <c r="B34" s="866" t="s">
        <v>425</v>
      </c>
      <c r="C34" s="490"/>
      <c r="D34" s="204"/>
      <c r="E34" s="870"/>
      <c r="F34" s="490"/>
      <c r="G34" s="594"/>
      <c r="H34" s="868"/>
    </row>
    <row r="35" spans="2:10" s="489" customFormat="1" x14ac:dyDescent="0.3">
      <c r="B35" s="866"/>
      <c r="C35" s="490" t="s">
        <v>34</v>
      </c>
      <c r="D35" s="204">
        <f>'1.5'!H10/'1.5'!H3</f>
        <v>30879.890206495951</v>
      </c>
      <c r="E35" s="870">
        <v>1</v>
      </c>
      <c r="F35" s="490">
        <v>10</v>
      </c>
      <c r="G35" s="594">
        <f t="shared" ref="G35:G36" si="8">D35*E35*H35</f>
        <v>3087.9890206495952</v>
      </c>
      <c r="H35" s="868">
        <f t="shared" ref="H35:H36" si="9">1/F35</f>
        <v>0.1</v>
      </c>
      <c r="I35" s="258">
        <f>H35</f>
        <v>0.1</v>
      </c>
      <c r="J35" s="768"/>
    </row>
    <row r="36" spans="2:10" s="489" customFormat="1" x14ac:dyDescent="0.3">
      <c r="B36" s="866"/>
      <c r="C36" s="490" t="s">
        <v>738</v>
      </c>
      <c r="D36" s="204">
        <f>'1.5'!H11/'1.5'!H3</f>
        <v>18902.560767161063</v>
      </c>
      <c r="E36" s="870">
        <v>1</v>
      </c>
      <c r="F36" s="490">
        <v>7.5</v>
      </c>
      <c r="G36" s="594">
        <f t="shared" si="8"/>
        <v>2520.3414356214753</v>
      </c>
      <c r="H36" s="868">
        <f t="shared" si="9"/>
        <v>0.13333333333333333</v>
      </c>
      <c r="I36" s="258">
        <f>H36</f>
        <v>0.13333333333333333</v>
      </c>
      <c r="J36" s="768"/>
    </row>
    <row r="37" spans="2:10" s="489" customFormat="1" x14ac:dyDescent="0.3">
      <c r="B37" s="866"/>
      <c r="C37" s="490"/>
      <c r="D37" s="204"/>
      <c r="E37" s="870"/>
      <c r="F37" s="490"/>
      <c r="G37" s="594"/>
      <c r="H37" s="868"/>
      <c r="I37" s="258"/>
    </row>
    <row r="38" spans="2:10" s="489" customFormat="1" x14ac:dyDescent="0.3">
      <c r="B38" s="866" t="s">
        <v>426</v>
      </c>
      <c r="C38" s="490"/>
      <c r="D38" s="204"/>
      <c r="E38" s="870"/>
      <c r="F38" s="490"/>
      <c r="G38" s="594"/>
      <c r="H38" s="868"/>
    </row>
    <row r="39" spans="2:10" s="489" customFormat="1" x14ac:dyDescent="0.3">
      <c r="B39" s="866"/>
      <c r="C39" s="490" t="s">
        <v>43</v>
      </c>
      <c r="D39" s="204">
        <f>'1.2'!E37/'1.2'!E16</f>
        <v>110000</v>
      </c>
      <c r="E39" s="870">
        <v>1</v>
      </c>
      <c r="F39" s="490">
        <v>10</v>
      </c>
      <c r="G39" s="594">
        <f t="shared" ref="G39:G40" si="10">D39*E39*H39</f>
        <v>11000</v>
      </c>
      <c r="H39" s="868">
        <f t="shared" ref="H39:H40" si="11">1/F39</f>
        <v>0.1</v>
      </c>
      <c r="J39" s="768"/>
    </row>
    <row r="40" spans="2:10" s="489" customFormat="1" x14ac:dyDescent="0.3">
      <c r="B40" s="866"/>
      <c r="C40" s="490" t="s">
        <v>427</v>
      </c>
      <c r="D40" s="204">
        <f>'1.3'!F10/'1.3'!F3</f>
        <v>744159.646741573</v>
      </c>
      <c r="E40" s="870">
        <v>1</v>
      </c>
      <c r="F40" s="490">
        <v>50</v>
      </c>
      <c r="G40" s="594">
        <f t="shared" si="10"/>
        <v>14883.192934831461</v>
      </c>
      <c r="H40" s="868">
        <f t="shared" si="11"/>
        <v>0.02</v>
      </c>
      <c r="I40" s="258">
        <f>H40</f>
        <v>0.02</v>
      </c>
      <c r="J40" s="768"/>
    </row>
    <row r="41" spans="2:10" s="489" customFormat="1" x14ac:dyDescent="0.3">
      <c r="B41" s="866"/>
      <c r="C41" s="490"/>
      <c r="D41" s="204"/>
      <c r="E41" s="490"/>
      <c r="F41" s="490"/>
      <c r="G41" s="594"/>
      <c r="H41" s="868"/>
    </row>
    <row r="42" spans="2:10" s="489" customFormat="1" x14ac:dyDescent="0.3">
      <c r="B42" s="866"/>
      <c r="C42" s="490"/>
      <c r="D42" s="204"/>
      <c r="E42" s="490"/>
      <c r="F42" s="490"/>
      <c r="G42" s="594"/>
      <c r="H42" s="871"/>
    </row>
    <row r="43" spans="2:10" s="489" customFormat="1" ht="15" thickBot="1" x14ac:dyDescent="0.35">
      <c r="B43" s="872" t="s">
        <v>81</v>
      </c>
      <c r="C43" s="873"/>
      <c r="D43" s="874"/>
      <c r="E43" s="873"/>
      <c r="F43" s="873"/>
      <c r="G43" s="875">
        <f>SUM(G30:G41)</f>
        <v>68306.620906394659</v>
      </c>
      <c r="H43" s="876">
        <f>SUM(H30:H41)</f>
        <v>0.67833333333333334</v>
      </c>
      <c r="I43" s="597">
        <f>SUM(I30:I41)</f>
        <v>0.57833333333333337</v>
      </c>
    </row>
    <row r="44" spans="2:10" s="489" customFormat="1" x14ac:dyDescent="0.3">
      <c r="D44" s="413"/>
      <c r="E44" s="598"/>
      <c r="F44" s="598"/>
      <c r="G44" s="598"/>
      <c r="H44" s="599"/>
    </row>
    <row r="45" spans="2:10" s="489" customFormat="1" x14ac:dyDescent="0.3">
      <c r="B45" s="490" t="s">
        <v>416</v>
      </c>
      <c r="C45" s="490"/>
      <c r="D45" s="601">
        <f>G43/E9</f>
        <v>183.1276699903342</v>
      </c>
      <c r="E45" s="598"/>
      <c r="F45" s="598"/>
      <c r="G45" s="600"/>
      <c r="H45" s="598"/>
    </row>
    <row r="46" spans="2:10" s="489" customFormat="1" x14ac:dyDescent="0.3">
      <c r="E46" s="419"/>
      <c r="F46" s="419"/>
      <c r="G46" s="419"/>
      <c r="H46" s="419"/>
    </row>
    <row r="47" spans="2:10" s="489" customFormat="1" x14ac:dyDescent="0.3">
      <c r="B47" s="489" t="s">
        <v>438</v>
      </c>
      <c r="D47" s="47">
        <v>0.97299999999999998</v>
      </c>
      <c r="E47" s="419"/>
      <c r="F47" s="419"/>
      <c r="G47" s="419"/>
      <c r="H47" s="419"/>
    </row>
    <row r="48" spans="2:10" s="489" customFormat="1" x14ac:dyDescent="0.3">
      <c r="D48" s="47"/>
      <c r="E48" s="419"/>
      <c r="F48" s="419"/>
      <c r="G48" s="419"/>
      <c r="H48" s="419"/>
    </row>
    <row r="49" spans="1:17" s="70" customFormat="1" x14ac:dyDescent="0.3">
      <c r="A49" s="439" t="s">
        <v>439</v>
      </c>
      <c r="B49" s="398"/>
      <c r="E49" s="95" t="s">
        <v>260</v>
      </c>
      <c r="F49" s="400" t="s">
        <v>66</v>
      </c>
      <c r="G49" s="400"/>
      <c r="H49" s="400"/>
      <c r="I49" s="394"/>
      <c r="J49" s="394"/>
    </row>
    <row r="50" spans="1:17" s="70" customFormat="1" x14ac:dyDescent="0.3">
      <c r="B50" s="398"/>
      <c r="D50" s="469">
        <v>1</v>
      </c>
      <c r="E50" s="107">
        <v>10</v>
      </c>
      <c r="F50" s="107">
        <v>50</v>
      </c>
      <c r="G50" s="107">
        <v>100</v>
      </c>
      <c r="H50" s="402"/>
      <c r="I50" s="398"/>
      <c r="J50" s="398"/>
    </row>
    <row r="51" spans="1:17" s="70" customFormat="1" x14ac:dyDescent="0.3">
      <c r="B51" s="298" t="s">
        <v>81</v>
      </c>
      <c r="C51" s="298"/>
      <c r="D51" s="179">
        <f>G25</f>
        <v>46759.067066479402</v>
      </c>
      <c r="E51" s="104">
        <f>$D$51*E50^(LOG10($D$47)/LOG10(2))</f>
        <v>42695.052083148934</v>
      </c>
      <c r="F51" s="104">
        <f>$D$51*F50^(LOG10($D$47)/LOG10(2))</f>
        <v>40066.039747753668</v>
      </c>
      <c r="G51" s="104">
        <f>G43</f>
        <v>68306.620906394659</v>
      </c>
      <c r="H51" s="399"/>
      <c r="I51" s="398"/>
      <c r="J51" s="398"/>
    </row>
    <row r="52" spans="1:17" s="70" customFormat="1" x14ac:dyDescent="0.3"/>
    <row r="53" spans="1:17" s="70" customFormat="1" x14ac:dyDescent="0.3">
      <c r="E53" s="41"/>
      <c r="M53"/>
      <c r="N53"/>
      <c r="O53"/>
      <c r="P53"/>
      <c r="Q53"/>
    </row>
    <row r="54" spans="1:17" s="70" customFormat="1" x14ac:dyDescent="0.3"/>
    <row r="55" spans="1:17" s="70" customFormat="1" x14ac:dyDescent="0.3">
      <c r="A55" s="183" t="s">
        <v>149</v>
      </c>
    </row>
    <row r="56" spans="1:17" s="768" customFormat="1" x14ac:dyDescent="0.3">
      <c r="A56" s="611">
        <v>2.5</v>
      </c>
      <c r="B56" s="768" t="s">
        <v>788</v>
      </c>
    </row>
    <row r="57" spans="1:17" x14ac:dyDescent="0.3">
      <c r="A57" s="263">
        <v>2.5</v>
      </c>
      <c r="B57" s="398" t="s">
        <v>475</v>
      </c>
      <c r="M57" s="70"/>
      <c r="N57" s="70"/>
      <c r="O57" s="70"/>
      <c r="P57" s="70"/>
      <c r="Q57" s="70"/>
    </row>
    <row r="58" spans="1:17" s="70" customFormat="1" x14ac:dyDescent="0.3">
      <c r="A58" s="263">
        <v>2.5</v>
      </c>
      <c r="B58" s="70" t="s">
        <v>787</v>
      </c>
      <c r="K58" s="63"/>
      <c r="L58" s="63"/>
    </row>
    <row r="59" spans="1:17" s="70" customFormat="1" x14ac:dyDescent="0.3">
      <c r="A59" s="263"/>
      <c r="B59" s="208"/>
      <c r="C59" s="208"/>
      <c r="D59" s="208"/>
      <c r="E59" s="209"/>
      <c r="F59" s="30"/>
      <c r="G59" s="30"/>
      <c r="H59" s="30"/>
      <c r="I59" s="30"/>
      <c r="J59" s="30"/>
      <c r="K59" s="210"/>
      <c r="L59" s="83"/>
    </row>
    <row r="60" spans="1:17" s="70" customFormat="1" x14ac:dyDescent="0.3">
      <c r="A60" s="183" t="s">
        <v>213</v>
      </c>
      <c r="B60" s="208"/>
      <c r="C60" s="208"/>
      <c r="D60" s="208"/>
      <c r="E60" s="209"/>
      <c r="F60" s="30"/>
      <c r="G60" s="30"/>
      <c r="H60" s="30"/>
      <c r="I60" s="30"/>
      <c r="J60" s="30"/>
      <c r="K60" s="210"/>
      <c r="L60" s="83"/>
    </row>
    <row r="61" spans="1:17" s="70" customFormat="1" x14ac:dyDescent="0.3">
      <c r="A61" s="70">
        <v>2.5</v>
      </c>
      <c r="B61" s="187" t="s">
        <v>784</v>
      </c>
      <c r="C61" s="187"/>
      <c r="D61" s="187"/>
      <c r="E61" s="187"/>
      <c r="F61" s="30"/>
      <c r="G61" s="30"/>
      <c r="H61" s="30"/>
      <c r="I61" s="30"/>
      <c r="J61" s="30"/>
      <c r="K61" s="210"/>
      <c r="L61" s="83"/>
    </row>
    <row r="62" spans="1:17" s="768" customFormat="1" x14ac:dyDescent="0.3">
      <c r="A62" s="768">
        <v>2.5</v>
      </c>
      <c r="B62" s="492" t="s">
        <v>803</v>
      </c>
      <c r="C62" s="492"/>
      <c r="D62" s="492"/>
      <c r="E62" s="492"/>
      <c r="F62" s="30"/>
      <c r="G62" s="30"/>
      <c r="H62" s="30"/>
      <c r="I62" s="30"/>
      <c r="J62" s="30"/>
      <c r="K62" s="210"/>
      <c r="L62" s="83"/>
    </row>
    <row r="63" spans="1:17" s="70" customFormat="1" x14ac:dyDescent="0.3">
      <c r="A63" s="70">
        <v>2.5</v>
      </c>
      <c r="B63" s="187" t="s">
        <v>785</v>
      </c>
      <c r="C63" s="187"/>
      <c r="D63" s="187"/>
      <c r="E63" s="187"/>
      <c r="F63" s="30"/>
      <c r="G63" s="30"/>
      <c r="H63" s="30"/>
      <c r="I63" s="30"/>
      <c r="J63" s="30"/>
      <c r="K63" s="210"/>
      <c r="L63" s="83"/>
    </row>
    <row r="64" spans="1:17" s="70" customFormat="1" x14ac:dyDescent="0.3">
      <c r="B64" s="187" t="s">
        <v>786</v>
      </c>
      <c r="C64" s="187"/>
      <c r="D64" s="187"/>
      <c r="E64" s="187"/>
      <c r="F64" s="30"/>
      <c r="G64" s="30"/>
      <c r="H64" s="30"/>
      <c r="I64" s="30"/>
      <c r="J64" s="30"/>
      <c r="K64" s="210"/>
      <c r="L64" s="83"/>
    </row>
    <row r="65" spans="1:17" s="70" customFormat="1" x14ac:dyDescent="0.3">
      <c r="B65" s="187"/>
      <c r="C65" s="187"/>
      <c r="D65" s="187"/>
      <c r="E65" s="187"/>
      <c r="F65" s="30"/>
      <c r="G65" s="30"/>
      <c r="H65" s="30"/>
      <c r="I65" s="30"/>
      <c r="J65" s="30"/>
      <c r="K65" s="210"/>
      <c r="L65" s="83"/>
    </row>
    <row r="66" spans="1:17" s="70" customFormat="1" x14ac:dyDescent="0.3">
      <c r="A66" s="492"/>
      <c r="B66" s="492"/>
      <c r="C66" s="187"/>
      <c r="D66" s="187"/>
      <c r="E66" s="187"/>
      <c r="F66" s="30"/>
      <c r="G66" s="30"/>
      <c r="H66" s="30"/>
      <c r="I66" s="30"/>
      <c r="J66" s="30"/>
      <c r="K66" s="210"/>
      <c r="L66" s="83"/>
    </row>
    <row r="67" spans="1:17" s="70" customFormat="1" x14ac:dyDescent="0.3">
      <c r="A67" s="492"/>
      <c r="B67" s="492"/>
      <c r="C67" s="187"/>
      <c r="D67" s="187"/>
      <c r="E67" s="187"/>
      <c r="F67" s="30"/>
      <c r="G67" s="30"/>
      <c r="H67" s="30"/>
      <c r="I67" s="30"/>
      <c r="J67" s="30"/>
      <c r="K67" s="210"/>
      <c r="L67" s="83"/>
    </row>
    <row r="68" spans="1:17" s="70" customFormat="1" x14ac:dyDescent="0.3">
      <c r="B68" s="187"/>
      <c r="C68" s="187"/>
      <c r="D68" s="187"/>
      <c r="E68" s="187"/>
      <c r="F68" s="30"/>
      <c r="G68" s="30"/>
      <c r="H68" s="30"/>
      <c r="I68" s="30"/>
      <c r="J68" s="30"/>
      <c r="K68" s="210"/>
      <c r="L68" s="83"/>
    </row>
    <row r="69" spans="1:17" s="70" customFormat="1" x14ac:dyDescent="0.3">
      <c r="B69" s="187"/>
      <c r="C69" s="187"/>
      <c r="D69" s="187"/>
      <c r="E69" s="187"/>
      <c r="F69" s="30"/>
      <c r="G69" s="30"/>
      <c r="H69" s="30"/>
      <c r="I69" s="30"/>
      <c r="J69" s="30"/>
      <c r="K69" s="210"/>
      <c r="L69" s="83"/>
    </row>
    <row r="70" spans="1:17" s="70" customFormat="1" x14ac:dyDescent="0.3">
      <c r="B70" s="187"/>
      <c r="C70" s="187"/>
      <c r="D70" s="187"/>
      <c r="E70" s="187"/>
      <c r="F70" s="30"/>
      <c r="G70" s="30"/>
      <c r="H70" s="30"/>
      <c r="I70" s="30"/>
      <c r="J70" s="30"/>
      <c r="K70" s="210"/>
      <c r="L70" s="83"/>
      <c r="M70" s="263"/>
      <c r="N70" s="263"/>
      <c r="O70" s="263"/>
      <c r="P70" s="263"/>
      <c r="Q70" s="263"/>
    </row>
    <row r="71" spans="1:17" s="70" customFormat="1" x14ac:dyDescent="0.3">
      <c r="B71" s="187"/>
      <c r="C71" s="187"/>
      <c r="D71" s="187"/>
      <c r="E71" s="187"/>
      <c r="F71" s="30"/>
      <c r="G71" s="30"/>
      <c r="H71" s="30"/>
      <c r="I71" s="30"/>
      <c r="J71" s="30"/>
      <c r="K71" s="210"/>
      <c r="L71" s="83"/>
      <c r="M71" s="263"/>
      <c r="N71" s="263"/>
      <c r="O71" s="263"/>
      <c r="P71" s="263"/>
      <c r="Q71" s="263"/>
    </row>
    <row r="72" spans="1:17" s="70" customFormat="1" x14ac:dyDescent="0.3">
      <c r="B72" s="187"/>
      <c r="C72" s="187"/>
      <c r="D72" s="187"/>
      <c r="E72" s="187"/>
      <c r="F72" s="30"/>
      <c r="G72" s="30"/>
      <c r="H72" s="30"/>
      <c r="I72" s="30"/>
      <c r="J72" s="30"/>
      <c r="K72" s="210"/>
      <c r="L72" s="83"/>
      <c r="M72" s="263"/>
      <c r="N72" s="263"/>
      <c r="O72" s="263"/>
      <c r="P72" s="263"/>
      <c r="Q72" s="263"/>
    </row>
    <row r="73" spans="1:17" s="70" customFormat="1" x14ac:dyDescent="0.3">
      <c r="B73" s="187"/>
      <c r="C73" s="187"/>
      <c r="D73" s="187"/>
      <c r="E73" s="187"/>
      <c r="F73" s="30"/>
      <c r="G73" s="30"/>
      <c r="H73" s="30"/>
      <c r="I73" s="30"/>
      <c r="J73" s="30"/>
      <c r="K73" s="210"/>
      <c r="L73" s="83"/>
      <c r="M73" s="263"/>
      <c r="N73" s="263"/>
      <c r="O73" s="263"/>
      <c r="P73" s="263"/>
      <c r="Q73" s="263"/>
    </row>
    <row r="74" spans="1:17" s="70" customFormat="1" x14ac:dyDescent="0.3">
      <c r="D74" s="67"/>
      <c r="E74" s="67"/>
      <c r="F74" s="49"/>
      <c r="G74" s="49"/>
      <c r="H74" s="49"/>
      <c r="I74" s="49"/>
      <c r="J74" s="49"/>
      <c r="K74" s="49"/>
      <c r="L74" s="25"/>
      <c r="M74" s="263"/>
      <c r="N74" s="263"/>
      <c r="O74" s="263"/>
      <c r="P74" s="263"/>
      <c r="Q74" s="263"/>
    </row>
    <row r="75" spans="1:17" s="263" customFormat="1" x14ac:dyDescent="0.3"/>
    <row r="76" spans="1:17" s="263" customFormat="1" x14ac:dyDescent="0.3"/>
    <row r="77" spans="1:17" s="263" customFormat="1" x14ac:dyDescent="0.3">
      <c r="M77"/>
      <c r="N77"/>
      <c r="O77"/>
      <c r="P77"/>
      <c r="Q77"/>
    </row>
    <row r="78" spans="1:17" s="263" customFormat="1" x14ac:dyDescent="0.3">
      <c r="M78"/>
      <c r="N78"/>
      <c r="O78"/>
      <c r="P78"/>
      <c r="Q78"/>
    </row>
    <row r="79" spans="1:17" s="263" customFormat="1" x14ac:dyDescent="0.3">
      <c r="M79"/>
      <c r="N79"/>
      <c r="O79"/>
      <c r="P79"/>
      <c r="Q79"/>
    </row>
    <row r="80" spans="1:17" s="263" customFormat="1" x14ac:dyDescent="0.3">
      <c r="M80"/>
      <c r="N80"/>
      <c r="O80"/>
      <c r="P80"/>
      <c r="Q80"/>
    </row>
    <row r="81" spans="13:17" s="263" customFormat="1" x14ac:dyDescent="0.3">
      <c r="M81"/>
      <c r="N81"/>
      <c r="O81"/>
      <c r="P81"/>
      <c r="Q81"/>
    </row>
  </sheetData>
  <mergeCells count="1">
    <mergeCell ref="E3:H3"/>
  </mergeCells>
  <dataValidations disablePrompts="1" count="1">
    <dataValidation type="list" showInputMessage="1" showErrorMessage="1" sqref="E59:E73">
      <formula1>$V$4:$V$53</formula1>
    </dataValidation>
  </dataValidations>
  <pageMargins left="0.7" right="0.7" top="0.75" bottom="0.75" header="0.3" footer="0.3"/>
  <pageSetup orientation="portrait" horizontalDpi="4294967293"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87"/>
  <sheetViews>
    <sheetView topLeftCell="A265" zoomScale="90" zoomScaleNormal="90" workbookViewId="0">
      <selection activeCell="K261" sqref="K261"/>
    </sheetView>
  </sheetViews>
  <sheetFormatPr defaultRowHeight="14.4" x14ac:dyDescent="0.3"/>
  <cols>
    <col min="1" max="1" width="4.44140625" style="768" customWidth="1"/>
    <col min="2" max="2" width="38.5546875" customWidth="1"/>
    <col min="3" max="3" width="6.33203125" customWidth="1"/>
    <col min="4" max="4" width="9.33203125" customWidth="1"/>
    <col min="5" max="5" width="10.33203125" customWidth="1"/>
    <col min="6" max="6" width="6.33203125" customWidth="1"/>
    <col min="7" max="7" width="9.33203125" customWidth="1"/>
    <col min="8" max="8" width="10.33203125" customWidth="1"/>
    <col min="12" max="12" width="35.5546875" bestFit="1" customWidth="1"/>
    <col min="13" max="13" width="12" bestFit="1" customWidth="1"/>
    <col min="14" max="14" width="14.6640625" customWidth="1"/>
    <col min="15" max="15" width="12" bestFit="1" customWidth="1"/>
    <col min="16" max="16" width="12.109375" customWidth="1"/>
  </cols>
  <sheetData>
    <row r="2" spans="2:7" ht="15" x14ac:dyDescent="0.25">
      <c r="B2" s="797" t="s">
        <v>807</v>
      </c>
      <c r="C2" s="73"/>
      <c r="D2" s="73"/>
      <c r="E2" s="73"/>
      <c r="F2" s="798"/>
    </row>
    <row r="3" spans="2:7" ht="15" x14ac:dyDescent="0.25">
      <c r="B3" s="718"/>
      <c r="C3" s="490">
        <v>1</v>
      </c>
      <c r="D3" s="490">
        <v>10</v>
      </c>
      <c r="E3" s="490">
        <v>50</v>
      </c>
      <c r="F3" s="720">
        <v>100</v>
      </c>
    </row>
    <row r="4" spans="2:7" ht="15" x14ac:dyDescent="0.25">
      <c r="B4" s="718" t="str">
        <f>'CBS ($ per kW)'!D27</f>
        <v>Backward Bent Duct Main Structure</v>
      </c>
      <c r="C4" s="446">
        <f>'CBS ($ per kW)'!J27</f>
        <v>7612.5915434316357</v>
      </c>
      <c r="D4" s="446">
        <f>'CBS ($ per kW)'!L27</f>
        <v>5352.5116254691693</v>
      </c>
      <c r="E4" s="446">
        <f>'CBS ($ per kW)'!N27</f>
        <v>4741.4674882037534</v>
      </c>
      <c r="F4" s="799">
        <f>'CBS ($ per kW)'!P27</f>
        <v>4606.3327270777481</v>
      </c>
    </row>
    <row r="5" spans="2:7" ht="15" x14ac:dyDescent="0.25">
      <c r="B5" s="718" t="str">
        <f>'CBS ($ per kW)'!D28</f>
        <v>Stern Float</v>
      </c>
      <c r="C5" s="446">
        <f>'CBS ($ per kW)'!J28</f>
        <v>1256.7462989276141</v>
      </c>
      <c r="D5" s="446">
        <f>'CBS ($ per kW)'!L28</f>
        <v>883.63458579088478</v>
      </c>
      <c r="E5" s="446">
        <f>'CBS ($ per kW)'!N28</f>
        <v>782.75862868632714</v>
      </c>
      <c r="F5" s="799">
        <f>'CBS ($ per kW)'!P28</f>
        <v>760.44952278820369</v>
      </c>
      <c r="G5" s="768"/>
    </row>
    <row r="6" spans="2:7" ht="15" x14ac:dyDescent="0.25">
      <c r="B6" s="718" t="str">
        <f>'CBS ($ per kW)'!D29</f>
        <v>Bow Float</v>
      </c>
      <c r="C6" s="446">
        <f>'CBS ($ per kW)'!J29</f>
        <v>1147.1599932975871</v>
      </c>
      <c r="D6" s="446">
        <f>'CBS ($ per kW)'!L29</f>
        <v>806.58303619302956</v>
      </c>
      <c r="E6" s="446">
        <f>'CBS ($ per kW)'!N29</f>
        <v>714.50330428954419</v>
      </c>
      <c r="F6" s="799">
        <f>'CBS ($ per kW)'!P29</f>
        <v>694.13951742627341</v>
      </c>
      <c r="G6" s="768"/>
    </row>
    <row r="7" spans="2:7" ht="15" x14ac:dyDescent="0.25">
      <c r="B7" s="722" t="str">
        <f>'CBS ($ per kW)'!D30</f>
        <v>Girders and Structural Supports</v>
      </c>
      <c r="C7" s="301">
        <f>'CBS ($ per kW)'!J30</f>
        <v>10579.968905757496</v>
      </c>
      <c r="D7" s="301">
        <f>'CBS ($ per kW)'!L30</f>
        <v>7438.9130484783218</v>
      </c>
      <c r="E7" s="301">
        <f>'CBS ($ per kW)'!N30</f>
        <v>6589.6847751064824</v>
      </c>
      <c r="F7" s="800">
        <f>'CBS ($ per kW)'!P30</f>
        <v>6401.874676187711</v>
      </c>
      <c r="G7" s="768"/>
    </row>
    <row r="8" spans="2:7" ht="15" x14ac:dyDescent="0.25">
      <c r="C8" s="474"/>
      <c r="D8" s="474"/>
      <c r="E8" s="474"/>
      <c r="F8" s="474"/>
    </row>
    <row r="25" spans="2:12" ht="15" x14ac:dyDescent="0.25">
      <c r="B25" t="s">
        <v>809</v>
      </c>
    </row>
    <row r="26" spans="2:12" ht="15" x14ac:dyDescent="0.25">
      <c r="C26">
        <v>1</v>
      </c>
      <c r="D26">
        <v>10</v>
      </c>
      <c r="E26">
        <v>50</v>
      </c>
      <c r="F26">
        <v>100</v>
      </c>
    </row>
    <row r="27" spans="2:12" ht="15" x14ac:dyDescent="0.25">
      <c r="B27" t="str">
        <f>'CBS ($ per kW)'!D32</f>
        <v>Fabricated Circular Parts</v>
      </c>
      <c r="C27" s="446">
        <f>'CBS ($ per kW)'!J32</f>
        <v>3281.9390812461779</v>
      </c>
      <c r="D27" s="446">
        <f>'CBS ($ per kW)'!L32</f>
        <v>1912.7810557439389</v>
      </c>
      <c r="E27" s="446">
        <f>'CBS ($ per kW)'!N32</f>
        <v>1311.5386170255997</v>
      </c>
      <c r="F27" s="446">
        <f>'CBS ($ per kW)'!P32</f>
        <v>1114.8078244717599</v>
      </c>
      <c r="G27">
        <f>F27/SUM(F27:F35)</f>
        <v>0.70703144400603568</v>
      </c>
      <c r="H27" s="768"/>
      <c r="J27" s="768"/>
    </row>
    <row r="28" spans="2:12" ht="15" x14ac:dyDescent="0.25">
      <c r="B28" s="768" t="str">
        <f>'CBS ($ per kW)'!D33</f>
        <v>Fabricated Rectangular Parts</v>
      </c>
      <c r="C28" s="446">
        <f>'CBS ($ per kW)'!J33</f>
        <v>621.96807012010743</v>
      </c>
      <c r="D28" s="446">
        <f>'CBS ($ per kW)'!L33</f>
        <v>362.49568086182308</v>
      </c>
      <c r="E28" s="446">
        <f>'CBS ($ per kW)'!N33</f>
        <v>248.55279830778147</v>
      </c>
      <c r="F28" s="446">
        <f>'CBS ($ per kW)'!P33</f>
        <v>211.26987856161426</v>
      </c>
      <c r="H28" s="768"/>
      <c r="J28" s="768"/>
    </row>
    <row r="29" spans="2:12" ht="15" x14ac:dyDescent="0.25">
      <c r="B29" s="768" t="str">
        <f>'CBS ($ per kW)'!D34</f>
        <v>Ducting</v>
      </c>
      <c r="C29" s="446">
        <f>'CBS ($ per kW)'!J34</f>
        <v>15.056300268096518</v>
      </c>
      <c r="D29" s="446">
        <f>'CBS ($ per kW)'!L34</f>
        <v>12.697484339716096</v>
      </c>
      <c r="E29" s="446">
        <f>'CBS ($ per kW)'!N34</f>
        <v>11.271805835186337</v>
      </c>
      <c r="F29" s="446">
        <f>'CBS ($ per kW)'!P34</f>
        <v>10.70821554342702</v>
      </c>
      <c r="H29" s="768"/>
      <c r="J29" s="768"/>
      <c r="K29" s="400"/>
      <c r="L29" s="400"/>
    </row>
    <row r="30" spans="2:12" ht="15" x14ac:dyDescent="0.25">
      <c r="B30" s="768" t="str">
        <f>'CBS ($ per kW)'!D35</f>
        <v>Rotor Blades</v>
      </c>
      <c r="C30" s="446">
        <f>'CBS ($ per kW)'!J35</f>
        <v>147.50061662198391</v>
      </c>
      <c r="D30" s="446">
        <f>'CBS ($ per kW)'!L35</f>
        <v>85.966368723075448</v>
      </c>
      <c r="E30" s="446">
        <f>'CBS ($ per kW)'!N35</f>
        <v>58.944651300890229</v>
      </c>
      <c r="F30" s="446">
        <f>'CBS ($ per kW)'!P35</f>
        <v>50.102953605756689</v>
      </c>
      <c r="H30" s="768"/>
      <c r="J30" s="768"/>
      <c r="K30" s="400"/>
      <c r="L30" s="400"/>
    </row>
    <row r="31" spans="2:12" ht="15" x14ac:dyDescent="0.25">
      <c r="B31" s="768" t="str">
        <f>'CBS ($ per kW)'!D36</f>
        <v>Bearings</v>
      </c>
      <c r="C31" s="446">
        <f>'CBS ($ per kW)'!J36</f>
        <v>85.937587131367295</v>
      </c>
      <c r="D31" s="446">
        <f>'CBS ($ per kW)'!L36</f>
        <v>74.424133595660351</v>
      </c>
      <c r="E31" s="446">
        <f>'CBS ($ per kW)'!N36</f>
        <v>67.305347813972148</v>
      </c>
      <c r="F31" s="446">
        <f>'CBS ($ per kW)'!P36</f>
        <v>64.453190348452068</v>
      </c>
      <c r="H31" s="768"/>
      <c r="J31" s="768"/>
      <c r="K31" s="400"/>
      <c r="L31" s="400"/>
    </row>
    <row r="32" spans="2:12" ht="15" x14ac:dyDescent="0.25">
      <c r="B32" s="768" t="str">
        <f>'CBS ($ per kW)'!D37</f>
        <v>Flex Coupling</v>
      </c>
      <c r="C32" s="446">
        <f>'CBS ($ per kW)'!J37</f>
        <v>3.7533512064343162</v>
      </c>
      <c r="D32" s="446">
        <f>'CBS ($ per kW)'!L37</f>
        <v>3.1653272926642684</v>
      </c>
      <c r="E32" s="446">
        <f>'CBS ($ per kW)'!N37</f>
        <v>2.8099231070621209</v>
      </c>
      <c r="F32" s="446">
        <f>'CBS ($ per kW)'!P37</f>
        <v>2.6694269517090148</v>
      </c>
      <c r="H32" s="768"/>
      <c r="J32" s="768"/>
      <c r="K32" s="400"/>
    </row>
    <row r="33" spans="2:11" ht="15" x14ac:dyDescent="0.25">
      <c r="B33" s="768" t="str">
        <f>'CBS ($ per kW)'!D38</f>
        <v>Generator</v>
      </c>
      <c r="C33" s="446">
        <f>'CBS ($ per kW)'!J38</f>
        <v>93.833780160857913</v>
      </c>
      <c r="D33" s="446">
        <f>'CBS ($ per kW)'!L38</f>
        <v>82.787909400793438</v>
      </c>
      <c r="E33" s="446">
        <f>'CBS ($ per kW)'!N38</f>
        <v>75.848733206403665</v>
      </c>
      <c r="F33" s="446">
        <f>'CBS ($ per kW)'!P38</f>
        <v>73.042330077766721</v>
      </c>
      <c r="H33" s="768"/>
      <c r="J33" s="768"/>
      <c r="K33" s="400"/>
    </row>
    <row r="34" spans="2:11" ht="15" x14ac:dyDescent="0.25">
      <c r="B34" s="768" t="str">
        <f>'CBS ($ per kW)'!D39</f>
        <v>Power Electronics</v>
      </c>
      <c r="C34" s="446">
        <f>'CBS ($ per kW)'!J39</f>
        <v>107.23860589812332</v>
      </c>
      <c r="D34" s="446">
        <f>'CBS ($ per kW)'!L39</f>
        <v>50.677106614372825</v>
      </c>
      <c r="E34" s="446">
        <f>'CBS ($ per kW)'!N39</f>
        <v>30.010247095303328</v>
      </c>
      <c r="F34" s="446">
        <f>'CBS ($ per kW)'!P39</f>
        <v>23.948177182052056</v>
      </c>
      <c r="H34" s="768"/>
      <c r="J34" s="768"/>
      <c r="K34" s="400"/>
    </row>
    <row r="35" spans="2:11" ht="15" x14ac:dyDescent="0.25">
      <c r="B35" s="768" t="str">
        <f>'CBS ($ per kW)'!D40</f>
        <v>Mechanical Face Seal</v>
      </c>
      <c r="C35" s="446">
        <f>'CBS ($ per kW)'!J40</f>
        <v>32.171581769436997</v>
      </c>
      <c r="D35" s="446">
        <f>'CBS ($ per kW)'!L40</f>
        <v>28.777973547463908</v>
      </c>
      <c r="E35" s="446">
        <f>'CBS ($ per kW)'!N40</f>
        <v>26.620826183984203</v>
      </c>
      <c r="F35" s="446">
        <f>'CBS ($ per kW)'!P40</f>
        <v>25.742338919912719</v>
      </c>
      <c r="H35" s="768"/>
      <c r="J35" s="768"/>
      <c r="K35" s="400"/>
    </row>
    <row r="36" spans="2:11" ht="15" x14ac:dyDescent="0.25">
      <c r="B36" s="768"/>
      <c r="H36" s="400"/>
      <c r="J36" s="400"/>
      <c r="K36" s="400"/>
    </row>
    <row r="37" spans="2:11" ht="15" x14ac:dyDescent="0.25">
      <c r="H37" s="400"/>
      <c r="J37" s="400"/>
      <c r="K37" s="400"/>
    </row>
    <row r="38" spans="2:11" ht="15" x14ac:dyDescent="0.25">
      <c r="H38" s="400"/>
      <c r="J38" s="400"/>
      <c r="K38" s="400"/>
    </row>
    <row r="59" spans="2:20" ht="15" x14ac:dyDescent="0.25">
      <c r="B59" t="s">
        <v>810</v>
      </c>
    </row>
    <row r="60" spans="2:20" ht="45" x14ac:dyDescent="0.25">
      <c r="C60">
        <v>1</v>
      </c>
      <c r="D60">
        <v>10</v>
      </c>
      <c r="E60">
        <v>50</v>
      </c>
      <c r="F60">
        <v>100</v>
      </c>
      <c r="L60" s="803"/>
      <c r="M60" s="804" t="s">
        <v>811</v>
      </c>
      <c r="N60" s="804" t="s">
        <v>812</v>
      </c>
      <c r="O60" s="804" t="s">
        <v>813</v>
      </c>
      <c r="P60" s="804" t="s">
        <v>814</v>
      </c>
    </row>
    <row r="61" spans="2:20" ht="15" x14ac:dyDescent="0.25">
      <c r="B61" t="str">
        <f>'CBS ($ per kW)'!D21</f>
        <v>Mooring lines/chain</v>
      </c>
      <c r="C61" s="446">
        <f>'CBS ($ per kW)'!J21</f>
        <v>1471.0087779016176</v>
      </c>
      <c r="D61" s="446">
        <f>'CBS ($ per kW)'!L21</f>
        <v>1323.9079001114555</v>
      </c>
      <c r="E61" s="446">
        <f>'CBS ($ per kW)'!N21</f>
        <v>1323.907900111456</v>
      </c>
      <c r="F61" s="446">
        <f>'CBS ($ per kW)'!P21</f>
        <v>1323.907900111456</v>
      </c>
      <c r="H61" s="768"/>
      <c r="J61" s="768"/>
      <c r="L61" s="805" t="str">
        <f>B61</f>
        <v>Mooring lines/chain</v>
      </c>
      <c r="M61" s="807">
        <f t="shared" ref="M61:P61" si="0">C61</f>
        <v>1471.0087779016176</v>
      </c>
      <c r="N61" s="807">
        <f t="shared" si="0"/>
        <v>1323.9079001114555</v>
      </c>
      <c r="O61" s="807">
        <f t="shared" si="0"/>
        <v>1323.907900111456</v>
      </c>
      <c r="P61" s="807">
        <f t="shared" si="0"/>
        <v>1323.907900111456</v>
      </c>
      <c r="Q61" s="863">
        <f>M61/$M$68</f>
        <v>0.39649587361585986</v>
      </c>
      <c r="R61" s="863">
        <f>N61/$N$68</f>
        <v>0.3988907141844083</v>
      </c>
      <c r="S61" s="863">
        <f>O61/$O$68</f>
        <v>0.40563392853346247</v>
      </c>
      <c r="T61" s="863">
        <f>P61/$P$68</f>
        <v>0.41260905021216354</v>
      </c>
    </row>
    <row r="62" spans="2:20" ht="15" x14ac:dyDescent="0.25">
      <c r="B62" s="768" t="str">
        <f>'CBS ($ per kW)'!D22</f>
        <v>Anchors</v>
      </c>
      <c r="C62" s="446">
        <f>'CBS ($ per kW)'!J22</f>
        <v>332.88471849865954</v>
      </c>
      <c r="D62" s="446">
        <f>'CBS ($ per kW)'!L22</f>
        <v>279.54959785522789</v>
      </c>
      <c r="E62" s="446">
        <f>'CBS ($ per kW)'!N22</f>
        <v>224.37533512064346</v>
      </c>
      <c r="F62" s="446">
        <f>'CBS ($ per kW)'!P22</f>
        <v>169.20107238605897</v>
      </c>
      <c r="H62" s="768"/>
      <c r="J62" s="768"/>
      <c r="L62" s="808" t="s">
        <v>815</v>
      </c>
      <c r="M62" s="806">
        <f>'1.3'!E16/('1.3'!E14*'Performance &amp; Economics'!$E$14)</f>
        <v>30.926740368105552</v>
      </c>
      <c r="N62" s="806">
        <f>'1.3'!F16/('1.3'!F14*'Performance &amp; Economics'!$E$14)</f>
        <v>27.834066331294999</v>
      </c>
      <c r="O62" s="806">
        <f>'1.3'!G16/('1.3'!G14*'Performance &amp; Economics'!$E$14)</f>
        <v>27.834066331294999</v>
      </c>
      <c r="P62" s="806">
        <f>'1.3'!H16/('1.3'!H14*'Performance &amp; Economics'!$E$14)</f>
        <v>27.834066331294999</v>
      </c>
      <c r="Q62" s="863">
        <f t="shared" ref="Q62:Q67" si="1">M62/$M$68</f>
        <v>8.3359971228961667E-3</v>
      </c>
      <c r="R62" s="863">
        <f t="shared" ref="R62:R67" si="2">N62/$N$68</f>
        <v>8.3863466609812899E-3</v>
      </c>
      <c r="S62" s="863">
        <f t="shared" ref="S62:S67" si="3">O62/$O$68</f>
        <v>8.528117153824415E-3</v>
      </c>
      <c r="T62" s="863">
        <f t="shared" ref="T62:T67" si="4">P62/$P$68</f>
        <v>8.6747633060661796E-3</v>
      </c>
    </row>
    <row r="63" spans="2:20" ht="15" x14ac:dyDescent="0.25">
      <c r="B63" s="768" t="str">
        <f>'CBS ($ per kW)'!D23</f>
        <v>Buoyancy</v>
      </c>
      <c r="C63" s="446">
        <f>'CBS ($ per kW)'!J23</f>
        <v>160.85790884718497</v>
      </c>
      <c r="D63" s="446">
        <f>'CBS ($ per kW)'!L23</f>
        <v>144.7721179624665</v>
      </c>
      <c r="E63" s="446">
        <f>'CBS ($ per kW)'!N23</f>
        <v>144.7721179624665</v>
      </c>
      <c r="F63" s="446">
        <f>'CBS ($ per kW)'!P23</f>
        <v>144.7721179624665</v>
      </c>
      <c r="H63" s="768"/>
      <c r="J63" s="768"/>
      <c r="L63" s="808" t="s">
        <v>816</v>
      </c>
      <c r="M63" s="806">
        <f>'1.3'!E17/('1.3'!E14*'Performance &amp; Economics'!$E$14)</f>
        <v>1367.6959785522788</v>
      </c>
      <c r="N63" s="806">
        <f>'1.3'!F17/('1.3'!F14*'Performance &amp; Economics'!$E$14)</f>
        <v>1230.9263806970507</v>
      </c>
      <c r="O63" s="806">
        <f>'1.3'!G17/('1.3'!G14*'Performance &amp; Economics'!$E$14)</f>
        <v>1230.9263806970509</v>
      </c>
      <c r="P63" s="806">
        <f>'1.3'!H17/('1.3'!H14*'Performance &amp; Economics'!$E$14)</f>
        <v>1230.9263806970509</v>
      </c>
      <c r="Q63" s="863">
        <f t="shared" si="1"/>
        <v>0.36864892990682935</v>
      </c>
      <c r="R63" s="863">
        <f t="shared" si="2"/>
        <v>0.37087557454966413</v>
      </c>
      <c r="S63" s="863">
        <f t="shared" si="3"/>
        <v>0.37714519529310614</v>
      </c>
      <c r="T63" s="863">
        <f t="shared" si="4"/>
        <v>0.38363043590702062</v>
      </c>
    </row>
    <row r="64" spans="2:20" ht="15" x14ac:dyDescent="0.25">
      <c r="B64" s="768" t="str">
        <f>'CBS ($ per kW)'!D24</f>
        <v>Connecting Hardware (shackles etc.)</v>
      </c>
      <c r="C64" s="446">
        <f>'CBS ($ per kW)'!J24</f>
        <v>274.26273458445041</v>
      </c>
      <c r="D64" s="446">
        <f>'CBS ($ per kW)'!L24</f>
        <v>246.83646112600536</v>
      </c>
      <c r="E64" s="446">
        <f>'CBS ($ per kW)'!N24</f>
        <v>246.83646112600536</v>
      </c>
      <c r="F64" s="446">
        <f>'CBS ($ per kW)'!P24</f>
        <v>246.83646112600536</v>
      </c>
      <c r="H64" s="768"/>
      <c r="J64" s="768"/>
      <c r="L64" s="808" t="s">
        <v>819</v>
      </c>
      <c r="M64" s="806">
        <f>'1.3'!E18/('1.3'!E14*'Performance &amp; Economics'!$E$14)</f>
        <v>72.386058981233248</v>
      </c>
      <c r="N64" s="806">
        <f>'1.3'!F18/('1.3'!F14*'Performance &amp; Economics'!$E$14)</f>
        <v>65.147453083109923</v>
      </c>
      <c r="O64" s="806">
        <f>'1.3'!G18/('1.3'!G14*'Performance &amp; Economics'!$E$14)</f>
        <v>65.147453083109923</v>
      </c>
      <c r="P64" s="806">
        <f>'1.3'!H18/('1.3'!H14*'Performance &amp; Economics'!$E$14)</f>
        <v>65.147453083109923</v>
      </c>
      <c r="Q64" s="863">
        <f t="shared" si="1"/>
        <v>1.9510946586134354E-2</v>
      </c>
      <c r="R64" s="863">
        <f t="shared" si="2"/>
        <v>1.9628792973762913E-2</v>
      </c>
      <c r="S64" s="863">
        <f t="shared" si="3"/>
        <v>1.9960616086531834E-2</v>
      </c>
      <c r="T64" s="863">
        <f t="shared" si="4"/>
        <v>2.030385099907666E-2</v>
      </c>
    </row>
    <row r="65" spans="2:20" ht="15" x14ac:dyDescent="0.25">
      <c r="B65" s="768"/>
      <c r="L65" s="805" t="str">
        <f t="shared" ref="L65:P67" si="5">B62</f>
        <v>Anchors</v>
      </c>
      <c r="M65" s="807">
        <f t="shared" si="5"/>
        <v>332.88471849865954</v>
      </c>
      <c r="N65" s="807">
        <f t="shared" si="5"/>
        <v>279.54959785522789</v>
      </c>
      <c r="O65" s="807">
        <f t="shared" si="5"/>
        <v>224.37533512064346</v>
      </c>
      <c r="P65" s="807">
        <f t="shared" si="5"/>
        <v>169.20107238605897</v>
      </c>
      <c r="Q65" s="863">
        <f t="shared" si="1"/>
        <v>8.972578495607253E-2</v>
      </c>
      <c r="R65" s="863">
        <f t="shared" si="2"/>
        <v>8.4227716088897384E-2</v>
      </c>
      <c r="S65" s="863">
        <f t="shared" si="3"/>
        <v>6.8746661790700506E-2</v>
      </c>
      <c r="T65" s="863">
        <f t="shared" si="4"/>
        <v>5.273319523677885E-2</v>
      </c>
    </row>
    <row r="66" spans="2:20" ht="15" x14ac:dyDescent="0.25">
      <c r="L66" s="805" t="str">
        <f t="shared" si="5"/>
        <v>Buoyancy</v>
      </c>
      <c r="M66" s="807">
        <f t="shared" si="5"/>
        <v>160.85790884718497</v>
      </c>
      <c r="N66" s="807">
        <f t="shared" si="5"/>
        <v>144.7721179624665</v>
      </c>
      <c r="O66" s="807">
        <f t="shared" si="5"/>
        <v>144.7721179624665</v>
      </c>
      <c r="P66" s="807">
        <f t="shared" si="5"/>
        <v>144.7721179624665</v>
      </c>
      <c r="Q66" s="863">
        <f t="shared" si="1"/>
        <v>4.3357659080298559E-2</v>
      </c>
      <c r="R66" s="863">
        <f t="shared" si="2"/>
        <v>4.3619539941695359E-2</v>
      </c>
      <c r="S66" s="863">
        <f t="shared" si="3"/>
        <v>4.4356924636737405E-2</v>
      </c>
      <c r="T66" s="863">
        <f t="shared" si="4"/>
        <v>4.5119668886837022E-2</v>
      </c>
    </row>
    <row r="67" spans="2:20" ht="15" x14ac:dyDescent="0.25">
      <c r="L67" s="805" t="str">
        <f t="shared" si="5"/>
        <v>Connecting Hardware (shackles etc.)</v>
      </c>
      <c r="M67" s="807">
        <f t="shared" si="5"/>
        <v>274.26273458445041</v>
      </c>
      <c r="N67" s="807">
        <f t="shared" si="5"/>
        <v>246.83646112600536</v>
      </c>
      <c r="O67" s="807">
        <f t="shared" si="5"/>
        <v>246.83646112600536</v>
      </c>
      <c r="P67" s="807">
        <f t="shared" si="5"/>
        <v>246.83646112600536</v>
      </c>
      <c r="Q67" s="863">
        <f t="shared" si="1"/>
        <v>7.3924808731909056E-2</v>
      </c>
      <c r="R67" s="863">
        <f t="shared" si="2"/>
        <v>7.4371315600590585E-2</v>
      </c>
      <c r="S67" s="863">
        <f t="shared" si="3"/>
        <v>7.5628556505637282E-2</v>
      </c>
      <c r="T67" s="863">
        <f t="shared" si="4"/>
        <v>7.6929035452057121E-2</v>
      </c>
    </row>
    <row r="68" spans="2:20" ht="15" x14ac:dyDescent="0.25">
      <c r="L68" s="864" t="s">
        <v>81</v>
      </c>
      <c r="M68" s="865">
        <f>SUM(M61:M67)</f>
        <v>3710.0229177335304</v>
      </c>
      <c r="N68" s="865">
        <f>SUM(N61:N67)</f>
        <v>3318.9739771666109</v>
      </c>
      <c r="O68" s="865">
        <f>SUM(O61:O67)</f>
        <v>3263.799714432027</v>
      </c>
      <c r="P68" s="865">
        <f>SUM(P61:P67)</f>
        <v>3208.6254516974427</v>
      </c>
      <c r="Q68" s="399">
        <f>SUM(Q61:Q67)</f>
        <v>0.99999999999999989</v>
      </c>
      <c r="R68" s="399">
        <f t="shared" ref="R68:T68" si="6">SUM(R61:R67)</f>
        <v>1</v>
      </c>
      <c r="S68" s="399">
        <f t="shared" si="6"/>
        <v>1.0000000000000002</v>
      </c>
      <c r="T68" s="399">
        <f t="shared" si="6"/>
        <v>1</v>
      </c>
    </row>
    <row r="73" spans="2:20" ht="15" x14ac:dyDescent="0.25">
      <c r="L73" s="491"/>
    </row>
    <row r="82" spans="2:8" s="768" customFormat="1" ht="15" x14ac:dyDescent="0.25">
      <c r="B82" s="768" t="s">
        <v>820</v>
      </c>
    </row>
    <row r="83" spans="2:8" s="768" customFormat="1" ht="15" x14ac:dyDescent="0.25">
      <c r="B83" s="827"/>
      <c r="C83" s="981" t="s">
        <v>85</v>
      </c>
      <c r="D83" s="982"/>
      <c r="E83" s="983"/>
      <c r="F83" s="984" t="s">
        <v>886</v>
      </c>
      <c r="G83" s="984"/>
      <c r="H83" s="985"/>
    </row>
    <row r="84" spans="2:8" s="768" customFormat="1" ht="24" x14ac:dyDescent="0.25">
      <c r="B84" s="828" t="s">
        <v>831</v>
      </c>
      <c r="C84" s="829" t="s">
        <v>832</v>
      </c>
      <c r="D84" s="830" t="s">
        <v>833</v>
      </c>
      <c r="E84" s="831" t="s">
        <v>79</v>
      </c>
      <c r="F84" s="830" t="s">
        <v>832</v>
      </c>
      <c r="G84" s="830" t="s">
        <v>833</v>
      </c>
      <c r="H84" s="831" t="s">
        <v>79</v>
      </c>
    </row>
    <row r="85" spans="2:8" s="768" customFormat="1" ht="15" x14ac:dyDescent="0.25">
      <c r="B85" s="832" t="s">
        <v>821</v>
      </c>
      <c r="C85" s="833"/>
      <c r="D85" s="834"/>
      <c r="E85" s="835"/>
      <c r="F85" s="834"/>
      <c r="G85" s="834"/>
      <c r="H85" s="835"/>
    </row>
    <row r="86" spans="2:8" s="768" customFormat="1" ht="15" x14ac:dyDescent="0.25">
      <c r="B86" s="836" t="s">
        <v>822</v>
      </c>
      <c r="C86" s="837">
        <f>'1.7'!E45</f>
        <v>68.745000000000005</v>
      </c>
      <c r="D86" s="838">
        <f>'1.7'!F45</f>
        <v>58754.265764782889</v>
      </c>
      <c r="E86" s="839">
        <f>'1.7'!G45</f>
        <v>4039062</v>
      </c>
      <c r="F86" s="840">
        <f>'1.7'!H45</f>
        <v>68.745000000000005</v>
      </c>
      <c r="G86" s="838">
        <f>'1.7'!I45</f>
        <v>58754.265764782889</v>
      </c>
      <c r="H86" s="839">
        <f>'1.7'!J45</f>
        <v>4039062</v>
      </c>
    </row>
    <row r="87" spans="2:8" s="768" customFormat="1" ht="15" x14ac:dyDescent="0.25">
      <c r="B87" s="836" t="s">
        <v>823</v>
      </c>
      <c r="C87" s="837">
        <f>'1.7'!E46</f>
        <v>4</v>
      </c>
      <c r="D87" s="838"/>
      <c r="E87" s="839">
        <f>'1.7'!G46</f>
        <v>422000</v>
      </c>
      <c r="F87" s="840">
        <f>'1.7'!H46</f>
        <v>4</v>
      </c>
      <c r="G87" s="838"/>
      <c r="H87" s="839">
        <f>'1.7'!J46</f>
        <v>422000</v>
      </c>
    </row>
    <row r="88" spans="2:8" s="768" customFormat="1" ht="15" x14ac:dyDescent="0.25">
      <c r="B88" s="836" t="s">
        <v>824</v>
      </c>
      <c r="C88" s="837"/>
      <c r="D88" s="838"/>
      <c r="E88" s="839">
        <f>'1.7'!G47</f>
        <v>7350</v>
      </c>
      <c r="F88" s="840"/>
      <c r="G88" s="838"/>
      <c r="H88" s="839">
        <f>'1.7'!J47</f>
        <v>73500</v>
      </c>
    </row>
    <row r="89" spans="2:8" s="768" customFormat="1" ht="15" x14ac:dyDescent="0.25">
      <c r="B89" s="836" t="s">
        <v>825</v>
      </c>
      <c r="C89" s="837">
        <f>'1.7'!E48</f>
        <v>0.37</v>
      </c>
      <c r="D89" s="838">
        <f>'1.7'!F48</f>
        <v>70485</v>
      </c>
      <c r="E89" s="839">
        <f>'1.7'!G48</f>
        <v>26079.45</v>
      </c>
      <c r="F89" s="840">
        <f>'1.7'!H48</f>
        <v>3.666666666666667</v>
      </c>
      <c r="G89" s="838">
        <f>'1.7'!I48</f>
        <v>70485</v>
      </c>
      <c r="H89" s="839">
        <f>'1.7'!J48</f>
        <v>258445.00000000003</v>
      </c>
    </row>
    <row r="90" spans="2:8" s="768" customFormat="1" ht="15" x14ac:dyDescent="0.25">
      <c r="B90" s="836" t="s">
        <v>327</v>
      </c>
      <c r="C90" s="837">
        <f>'1.7'!E49</f>
        <v>0.36</v>
      </c>
      <c r="D90" s="838">
        <f>'1.7'!F49</f>
        <v>76610</v>
      </c>
      <c r="E90" s="839">
        <f>'1.7'!G49</f>
        <v>27579.599999999999</v>
      </c>
      <c r="F90" s="840">
        <f>'1.7'!H49</f>
        <v>3.5999999999999996</v>
      </c>
      <c r="G90" s="838">
        <f>'1.7'!I49</f>
        <v>76610</v>
      </c>
      <c r="H90" s="839">
        <f>'1.7'!J49</f>
        <v>275796</v>
      </c>
    </row>
    <row r="91" spans="2:8" s="768" customFormat="1" ht="15" x14ac:dyDescent="0.25">
      <c r="B91" s="836" t="s">
        <v>826</v>
      </c>
      <c r="C91" s="837">
        <f>'1.7'!E50</f>
        <v>0.37</v>
      </c>
      <c r="D91" s="838">
        <f>'1.7'!F50</f>
        <v>73810</v>
      </c>
      <c r="E91" s="839">
        <f>'1.7'!G50</f>
        <v>27309.7</v>
      </c>
      <c r="F91" s="840">
        <f>'1.7'!H50</f>
        <v>3.666666666666667</v>
      </c>
      <c r="G91" s="838">
        <f>'1.7'!I50</f>
        <v>73810</v>
      </c>
      <c r="H91" s="839">
        <f>'1.7'!J50</f>
        <v>270636.66666666669</v>
      </c>
    </row>
    <row r="92" spans="2:8" s="768" customFormat="1" ht="15" x14ac:dyDescent="0.25">
      <c r="B92" s="841" t="s">
        <v>81</v>
      </c>
      <c r="C92" s="842">
        <f>SUM(C86:C91)</f>
        <v>73.845000000000013</v>
      </c>
      <c r="D92" s="843">
        <f t="shared" ref="D92:E92" si="7">SUM(D86:D91)</f>
        <v>279659.2657647829</v>
      </c>
      <c r="E92" s="844">
        <f t="shared" si="7"/>
        <v>4549380.75</v>
      </c>
      <c r="F92" s="845">
        <f t="shared" ref="F92" si="8">SUM(F86:F91)</f>
        <v>83.678333333333342</v>
      </c>
      <c r="G92" s="843">
        <f t="shared" ref="G92" si="9">SUM(G86:G91)</f>
        <v>279659.2657647829</v>
      </c>
      <c r="H92" s="844">
        <f t="shared" ref="H92" si="10">SUM(H86:H91)</f>
        <v>5339439.666666667</v>
      </c>
    </row>
    <row r="93" spans="2:8" s="768" customFormat="1" ht="15" x14ac:dyDescent="0.25">
      <c r="B93" s="836"/>
      <c r="C93" s="846"/>
      <c r="D93" s="847"/>
      <c r="E93" s="848"/>
      <c r="F93" s="847"/>
      <c r="G93" s="847"/>
      <c r="H93" s="848"/>
    </row>
    <row r="94" spans="2:8" s="768" customFormat="1" ht="15" x14ac:dyDescent="0.25">
      <c r="B94" s="832" t="s">
        <v>49</v>
      </c>
      <c r="C94" s="833"/>
      <c r="D94" s="834"/>
      <c r="E94" s="835"/>
      <c r="F94" s="834"/>
      <c r="G94" s="834"/>
      <c r="H94" s="835"/>
    </row>
    <row r="95" spans="2:8" s="768" customFormat="1" ht="15" x14ac:dyDescent="0.25">
      <c r="B95" s="836" t="s">
        <v>827</v>
      </c>
      <c r="C95" s="846"/>
      <c r="D95" s="847"/>
      <c r="E95" s="839">
        <f>'1.7'!F34</f>
        <v>667000</v>
      </c>
      <c r="F95" s="847"/>
      <c r="G95" s="847"/>
      <c r="H95" s="839">
        <f>'1.7'!G34</f>
        <v>767200</v>
      </c>
    </row>
    <row r="96" spans="2:8" s="768" customFormat="1" ht="15" x14ac:dyDescent="0.25">
      <c r="B96" s="836"/>
      <c r="C96" s="846"/>
      <c r="D96" s="847"/>
      <c r="E96" s="848"/>
      <c r="F96" s="847"/>
      <c r="G96" s="847"/>
      <c r="H96" s="848"/>
    </row>
    <row r="97" spans="2:8" s="768" customFormat="1" ht="15" x14ac:dyDescent="0.25">
      <c r="B97" s="832" t="s">
        <v>828</v>
      </c>
      <c r="C97" s="833"/>
      <c r="D97" s="834"/>
      <c r="E97" s="835"/>
      <c r="F97" s="834"/>
      <c r="G97" s="834"/>
      <c r="H97" s="835"/>
    </row>
    <row r="98" spans="2:8" s="768" customFormat="1" ht="15" x14ac:dyDescent="0.25">
      <c r="B98" s="836" t="s">
        <v>341</v>
      </c>
      <c r="C98" s="837">
        <f>'1.7'!E71</f>
        <v>11</v>
      </c>
      <c r="D98" s="838">
        <f>'1.7'!F71</f>
        <v>66350</v>
      </c>
      <c r="E98" s="839">
        <f>'1.7'!G71</f>
        <v>729850</v>
      </c>
      <c r="F98" s="840">
        <f>'1.7'!H71</f>
        <v>11</v>
      </c>
      <c r="G98" s="838">
        <f>'1.7'!I71</f>
        <v>66350</v>
      </c>
      <c r="H98" s="839">
        <f>'1.7'!J71</f>
        <v>729850</v>
      </c>
    </row>
    <row r="99" spans="2:8" s="768" customFormat="1" ht="15" x14ac:dyDescent="0.25">
      <c r="B99" s="836" t="s">
        <v>342</v>
      </c>
      <c r="C99" s="837">
        <f>'1.7'!E72</f>
        <v>0.71</v>
      </c>
      <c r="D99" s="838">
        <f>'1.7'!F72</f>
        <v>75625</v>
      </c>
      <c r="E99" s="839">
        <f>'1.7'!G72</f>
        <v>53693.75</v>
      </c>
      <c r="F99" s="840">
        <f>'1.7'!H72</f>
        <v>3.4</v>
      </c>
      <c r="G99" s="838">
        <f>'1.7'!I72</f>
        <v>75625</v>
      </c>
      <c r="H99" s="839">
        <f>'1.7'!J72</f>
        <v>257125</v>
      </c>
    </row>
    <row r="100" spans="2:8" s="768" customFormat="1" ht="15" x14ac:dyDescent="0.25">
      <c r="B100" s="836" t="s">
        <v>343</v>
      </c>
      <c r="C100" s="837">
        <f>'1.7'!E73</f>
        <v>2</v>
      </c>
      <c r="D100" s="838">
        <f>'1.7'!F73</f>
        <v>101275</v>
      </c>
      <c r="E100" s="839">
        <f>'1.7'!G73</f>
        <v>202550</v>
      </c>
      <c r="F100" s="840">
        <f>'1.7'!H73</f>
        <v>2</v>
      </c>
      <c r="G100" s="838">
        <f>'1.7'!I73</f>
        <v>101275</v>
      </c>
      <c r="H100" s="839">
        <f>'1.7'!J73</f>
        <v>202550</v>
      </c>
    </row>
    <row r="101" spans="2:8" s="768" customFormat="1" ht="15" x14ac:dyDescent="0.25">
      <c r="B101" s="836" t="s">
        <v>344</v>
      </c>
      <c r="C101" s="837">
        <f>'1.7'!E74</f>
        <v>0.55000000000000004</v>
      </c>
      <c r="D101" s="838">
        <f>'1.7'!F74</f>
        <v>101075</v>
      </c>
      <c r="E101" s="839">
        <f>'1.7'!G74</f>
        <v>55591.250000000007</v>
      </c>
      <c r="F101" s="840">
        <f>'1.7'!H74</f>
        <v>5.5</v>
      </c>
      <c r="G101" s="838">
        <f>'1.7'!I74</f>
        <v>101075</v>
      </c>
      <c r="H101" s="839">
        <f>'1.7'!J74</f>
        <v>555912.5</v>
      </c>
    </row>
    <row r="102" spans="2:8" s="768" customFormat="1" ht="15" x14ac:dyDescent="0.25">
      <c r="B102" s="836" t="s">
        <v>345</v>
      </c>
      <c r="C102" s="837">
        <f>'1.7'!E75</f>
        <v>3.1</v>
      </c>
      <c r="D102" s="838">
        <f>'1.7'!F75</f>
        <v>101075</v>
      </c>
      <c r="E102" s="839">
        <f>'1.7'!G75</f>
        <v>313332.5</v>
      </c>
      <c r="F102" s="840">
        <f>'1.7'!H75</f>
        <v>3.1</v>
      </c>
      <c r="G102" s="838">
        <f>'1.7'!I75</f>
        <v>101075</v>
      </c>
      <c r="H102" s="839">
        <f>'1.7'!J75</f>
        <v>313332.5</v>
      </c>
    </row>
    <row r="103" spans="2:8" s="768" customFormat="1" ht="15" x14ac:dyDescent="0.25">
      <c r="B103" s="836" t="s">
        <v>143</v>
      </c>
      <c r="C103" s="837">
        <f>'1.7'!E77</f>
        <v>1.7360000000000004</v>
      </c>
      <c r="D103" s="838">
        <f>'1.7'!F77</f>
        <v>87855</v>
      </c>
      <c r="E103" s="839">
        <f>'1.7'!G77</f>
        <v>152516.28000000003</v>
      </c>
      <c r="F103" s="840">
        <f>'1.7'!H76</f>
        <v>0</v>
      </c>
      <c r="G103" s="838">
        <f>'1.7'!I76</f>
        <v>0</v>
      </c>
      <c r="H103" s="839">
        <f>'1.7'!J76</f>
        <v>0</v>
      </c>
    </row>
    <row r="104" spans="2:8" s="768" customFormat="1" ht="15" x14ac:dyDescent="0.25">
      <c r="B104" s="841" t="s">
        <v>81</v>
      </c>
      <c r="C104" s="842">
        <f>SUM(C98:C103)</f>
        <v>19.096000000000004</v>
      </c>
      <c r="D104" s="843">
        <f t="shared" ref="D104:H104" si="11">SUM(D98:D103)</f>
        <v>533255</v>
      </c>
      <c r="E104" s="844">
        <f t="shared" si="11"/>
        <v>1507533.78</v>
      </c>
      <c r="F104" s="845">
        <f t="shared" si="11"/>
        <v>25</v>
      </c>
      <c r="G104" s="843">
        <f t="shared" si="11"/>
        <v>445400</v>
      </c>
      <c r="H104" s="844">
        <f t="shared" si="11"/>
        <v>2058770</v>
      </c>
    </row>
    <row r="105" spans="2:8" s="768" customFormat="1" ht="15" x14ac:dyDescent="0.25">
      <c r="B105" s="836"/>
      <c r="C105" s="846"/>
      <c r="D105" s="847"/>
      <c r="E105" s="848"/>
      <c r="F105" s="847"/>
      <c r="G105" s="847"/>
      <c r="H105" s="848"/>
    </row>
    <row r="106" spans="2:8" s="768" customFormat="1" ht="15" x14ac:dyDescent="0.25">
      <c r="B106" s="832" t="s">
        <v>829</v>
      </c>
      <c r="C106" s="833"/>
      <c r="D106" s="834"/>
      <c r="E106" s="835"/>
      <c r="F106" s="834"/>
      <c r="G106" s="834"/>
      <c r="H106" s="835"/>
    </row>
    <row r="107" spans="2:8" s="768" customFormat="1" ht="15" x14ac:dyDescent="0.25">
      <c r="B107" s="836" t="s">
        <v>830</v>
      </c>
      <c r="C107" s="837"/>
      <c r="D107" s="838"/>
      <c r="E107" s="839">
        <f>'1.7'!G92</f>
        <v>181750</v>
      </c>
      <c r="F107" s="840"/>
      <c r="G107" s="838"/>
      <c r="H107" s="839">
        <f>'1.7'!J92</f>
        <v>181750</v>
      </c>
    </row>
    <row r="108" spans="2:8" s="768" customFormat="1" ht="15" x14ac:dyDescent="0.25">
      <c r="B108" s="836" t="s">
        <v>47</v>
      </c>
      <c r="C108" s="837">
        <f>'1.7'!E93</f>
        <v>1</v>
      </c>
      <c r="D108" s="838">
        <f>'1.7'!F93</f>
        <v>133550</v>
      </c>
      <c r="E108" s="839">
        <f>'1.7'!G93</f>
        <v>133550</v>
      </c>
      <c r="F108" s="840">
        <f>'1.7'!H93</f>
        <v>10</v>
      </c>
      <c r="G108" s="838">
        <f>'1.7'!I93</f>
        <v>133550</v>
      </c>
      <c r="H108" s="839">
        <f>'1.7'!J93</f>
        <v>1335500</v>
      </c>
    </row>
    <row r="109" spans="2:8" s="768" customFormat="1" ht="15" x14ac:dyDescent="0.25">
      <c r="B109" s="836" t="s">
        <v>143</v>
      </c>
      <c r="C109" s="837">
        <f>'1.7'!E94</f>
        <v>0.1</v>
      </c>
      <c r="D109" s="838">
        <f>'1.7'!F94</f>
        <v>133550</v>
      </c>
      <c r="E109" s="839">
        <f>'1.7'!G94</f>
        <v>13355</v>
      </c>
      <c r="F109" s="840">
        <f>'1.7'!H94</f>
        <v>1</v>
      </c>
      <c r="G109" s="838">
        <f>'1.7'!I94</f>
        <v>133550</v>
      </c>
      <c r="H109" s="839">
        <f>'1.7'!J94</f>
        <v>133550</v>
      </c>
    </row>
    <row r="110" spans="2:8" s="768" customFormat="1" ht="15" x14ac:dyDescent="0.25">
      <c r="B110" s="849" t="s">
        <v>81</v>
      </c>
      <c r="C110" s="850">
        <f>SUM(C107:C109)</f>
        <v>1.1000000000000001</v>
      </c>
      <c r="D110" s="851">
        <f t="shared" ref="D110:E110" si="12">SUM(D107:D109)</f>
        <v>267100</v>
      </c>
      <c r="E110" s="852">
        <f t="shared" si="12"/>
        <v>328655</v>
      </c>
      <c r="F110" s="853">
        <f t="shared" ref="F110" si="13">SUM(F107:F109)</f>
        <v>11</v>
      </c>
      <c r="G110" s="851">
        <f t="shared" ref="G110" si="14">SUM(G107:G109)</f>
        <v>267100</v>
      </c>
      <c r="H110" s="852">
        <f t="shared" ref="H110" si="15">SUM(H107:H109)</f>
        <v>1650800</v>
      </c>
    </row>
    <row r="112" spans="2:8" s="768" customFormat="1" ht="15" x14ac:dyDescent="0.25">
      <c r="B112" s="768" t="s">
        <v>834</v>
      </c>
    </row>
    <row r="113" spans="2:6" s="768" customFormat="1" ht="15" x14ac:dyDescent="0.25">
      <c r="C113" s="768">
        <v>1</v>
      </c>
      <c r="D113" s="768">
        <v>10</v>
      </c>
      <c r="E113" s="768">
        <v>50</v>
      </c>
      <c r="F113" s="768">
        <v>100</v>
      </c>
    </row>
    <row r="114" spans="2:6" s="768" customFormat="1" ht="15" x14ac:dyDescent="0.25">
      <c r="B114" s="768" t="str">
        <f>'CBS ($ per kW)'!D43</f>
        <v>Transport to Staging Site</v>
      </c>
      <c r="C114" s="474">
        <f>'CBS ($ per kW)'!J43</f>
        <v>79.758713136729227</v>
      </c>
      <c r="D114" s="474">
        <f>'CBS ($ per kW)'!L43</f>
        <v>79.758713136729227</v>
      </c>
      <c r="E114" s="474">
        <f>'CBS ($ per kW)'!N43</f>
        <v>79.758713136729227</v>
      </c>
      <c r="F114" s="474">
        <f>'CBS ($ per kW)'!P43</f>
        <v>79.758713136729227</v>
      </c>
    </row>
    <row r="115" spans="2:6" s="768" customFormat="1" ht="15" x14ac:dyDescent="0.25">
      <c r="B115" s="768" t="str">
        <f>'CBS ($ per kW)'!D44</f>
        <v>Cable Shore Landing</v>
      </c>
      <c r="C115" s="474">
        <f>'CBS ($ per kW)'!J44</f>
        <v>1788.2037533512064</v>
      </c>
      <c r="D115" s="474">
        <f>'CBS ($ per kW)'!L44</f>
        <v>205.68364611260054</v>
      </c>
      <c r="E115" s="474">
        <f>'CBS ($ per kW)'!N44</f>
        <v>41.13672922252011</v>
      </c>
      <c r="F115" s="474">
        <f>'CBS ($ per kW)'!P44</f>
        <v>41.126005361930297</v>
      </c>
    </row>
    <row r="116" spans="2:6" s="768" customFormat="1" ht="15" x14ac:dyDescent="0.25">
      <c r="B116" s="768" t="str">
        <f>'CBS ($ per kW)'!D45</f>
        <v>Mooring/Foundation System</v>
      </c>
      <c r="C116" s="474">
        <f>'CBS ($ per kW)'!J45</f>
        <v>8562.5564343163551</v>
      </c>
      <c r="D116" s="474">
        <f>'CBS ($ per kW)'!L45</f>
        <v>1046.7985403634198</v>
      </c>
      <c r="E116" s="474">
        <f>'CBS ($ per kW)'!N45</f>
        <v>378.76465296395594</v>
      </c>
      <c r="F116" s="474">
        <f>'CBS ($ per kW)'!P45</f>
        <v>295.26041703902297</v>
      </c>
    </row>
    <row r="117" spans="2:6" s="768" customFormat="1" ht="15" x14ac:dyDescent="0.25">
      <c r="B117" s="768" t="str">
        <f>'CBS ($ per kW)'!D46</f>
        <v>Cable Installation</v>
      </c>
      <c r="C117" s="474">
        <f>'CBS ($ per kW)'!J46</f>
        <v>4041.6455227882038</v>
      </c>
      <c r="D117" s="474">
        <f>'CBS ($ per kW)'!L46</f>
        <v>611.30418230563009</v>
      </c>
      <c r="E117" s="474">
        <f>'CBS ($ per kW)'!N46</f>
        <v>241.49139946380694</v>
      </c>
      <c r="F117" s="474">
        <f>'CBS ($ per kW)'!P46</f>
        <v>195.26480160857909</v>
      </c>
    </row>
    <row r="118" spans="2:6" s="768" customFormat="1" ht="15" x14ac:dyDescent="0.25">
      <c r="B118" s="768" t="str">
        <f>'CBS ($ per kW)'!D47</f>
        <v>Device Installation</v>
      </c>
      <c r="C118" s="474">
        <f>'CBS ($ per kW)'!J47</f>
        <v>684.18900804289547</v>
      </c>
      <c r="D118" s="474">
        <f>'CBS ($ per kW)'!L47</f>
        <v>245.65013404825737</v>
      </c>
      <c r="E118" s="474">
        <f>'CBS ($ per kW)'!N47</f>
        <v>206.66890080428954</v>
      </c>
      <c r="F118" s="474">
        <f>'CBS ($ per kW)'!P47</f>
        <v>201.79624664879356</v>
      </c>
    </row>
    <row r="119" spans="2:6" s="768" customFormat="1" ht="15" x14ac:dyDescent="0.25">
      <c r="B119" s="768" t="str">
        <f>'CBS ($ per kW)'!D48</f>
        <v>Device Comissioning</v>
      </c>
      <c r="C119" s="474">
        <f>'CBS ($ per kW)'!J48</f>
        <v>684.18900804289547</v>
      </c>
      <c r="D119" s="474">
        <f>'CBS ($ per kW)'!L48</f>
        <v>245.65013404825737</v>
      </c>
      <c r="E119" s="474">
        <f>'CBS ($ per kW)'!N48</f>
        <v>206.66890080428954</v>
      </c>
      <c r="F119" s="474">
        <f>'CBS ($ per kW)'!P48</f>
        <v>201.79624664879356</v>
      </c>
    </row>
    <row r="120" spans="2:6" s="768" customFormat="1" ht="15" x14ac:dyDescent="0.25">
      <c r="C120" s="474">
        <f>SUM(C114:C119)</f>
        <v>15840.542439678284</v>
      </c>
      <c r="D120" s="474">
        <f t="shared" ref="D120:F120" si="16">SUM(D114:D119)</f>
        <v>2434.8453500148944</v>
      </c>
      <c r="E120" s="474">
        <f t="shared" si="16"/>
        <v>1154.4892963955913</v>
      </c>
      <c r="F120" s="474">
        <f t="shared" si="16"/>
        <v>1015.0024304438489</v>
      </c>
    </row>
    <row r="121" spans="2:6" s="768" customFormat="1" ht="15" x14ac:dyDescent="0.25"/>
    <row r="122" spans="2:6" s="768" customFormat="1" ht="15" x14ac:dyDescent="0.25"/>
    <row r="123" spans="2:6" s="768" customFormat="1" ht="15" x14ac:dyDescent="0.25"/>
    <row r="124" spans="2:6" s="768" customFormat="1" ht="15" x14ac:dyDescent="0.25"/>
    <row r="125" spans="2:6" s="768" customFormat="1" ht="15" x14ac:dyDescent="0.25"/>
    <row r="126" spans="2:6" s="768" customFormat="1" ht="15" x14ac:dyDescent="0.25"/>
    <row r="127" spans="2:6" s="768" customFormat="1" ht="15" x14ac:dyDescent="0.25"/>
    <row r="128" spans="2:6" s="768" customFormat="1" ht="15" x14ac:dyDescent="0.25"/>
    <row r="129" spans="2:2" s="768" customFormat="1" ht="15" x14ac:dyDescent="0.25"/>
    <row r="130" spans="2:2" s="768" customFormat="1" ht="15" x14ac:dyDescent="0.25"/>
    <row r="131" spans="2:2" s="768" customFormat="1" ht="15" x14ac:dyDescent="0.25"/>
    <row r="132" spans="2:2" s="768" customFormat="1" ht="15" x14ac:dyDescent="0.25"/>
    <row r="133" spans="2:2" s="768" customFormat="1" ht="15" x14ac:dyDescent="0.25"/>
    <row r="134" spans="2:2" s="768" customFormat="1" ht="15" x14ac:dyDescent="0.25"/>
    <row r="135" spans="2:2" s="768" customFormat="1" ht="15" x14ac:dyDescent="0.25"/>
    <row r="136" spans="2:2" s="768" customFormat="1" ht="15" x14ac:dyDescent="0.25"/>
    <row r="144" spans="2:2" s="768" customFormat="1" ht="15" x14ac:dyDescent="0.25">
      <c r="B144" s="768" t="s">
        <v>836</v>
      </c>
    </row>
    <row r="145" spans="2:6" s="768" customFormat="1" ht="15" x14ac:dyDescent="0.25">
      <c r="C145" s="768">
        <v>1</v>
      </c>
      <c r="D145" s="768">
        <v>10</v>
      </c>
      <c r="E145" s="768">
        <v>50</v>
      </c>
      <c r="F145" s="768">
        <v>100</v>
      </c>
    </row>
    <row r="146" spans="2:6" s="768" customFormat="1" ht="15" x14ac:dyDescent="0.25">
      <c r="B146" s="768" t="s">
        <v>837</v>
      </c>
      <c r="C146" s="474">
        <f>'CBS ($ per kW)'!J56</f>
        <v>2292.225201072386</v>
      </c>
      <c r="D146" s="474">
        <f>'CBS ($ per kW)'!L56</f>
        <v>339.41018766756031</v>
      </c>
      <c r="E146" s="474">
        <f>'CBS ($ per kW)'!N56</f>
        <v>67.882037533512062</v>
      </c>
      <c r="F146" s="474">
        <f>'CBS ($ per kW)'!P56</f>
        <v>33.941018766756031</v>
      </c>
    </row>
    <row r="147" spans="2:6" s="768" customFormat="1" ht="15" x14ac:dyDescent="0.25">
      <c r="B147" s="768" t="str">
        <f>'CBS ($ per kW)'!C55</f>
        <v>Insurance</v>
      </c>
      <c r="C147" s="474">
        <f>'CBS ($ per kW)'!J55</f>
        <v>970.85122291502387</v>
      </c>
      <c r="D147" s="474">
        <f>'CBS ($ per kW)'!L55</f>
        <v>506.78851874953449</v>
      </c>
      <c r="E147" s="474">
        <f>'CBS ($ per kW)'!N55</f>
        <v>200.89819247634088</v>
      </c>
      <c r="F147" s="474">
        <f>'CBS ($ per kW)'!P55</f>
        <v>96.489532640472532</v>
      </c>
    </row>
    <row r="148" spans="2:6" s="768" customFormat="1" ht="15" x14ac:dyDescent="0.25">
      <c r="B148" s="768" t="str">
        <f>'CBS ($ per kW)'!C57</f>
        <v>Marine Operations</v>
      </c>
      <c r="C148" s="474">
        <f>'CBS ($ per kW)'!J57</f>
        <v>84.066130473637173</v>
      </c>
      <c r="D148" s="474">
        <f>'CBS ($ per kW)'!L57</f>
        <v>84.066130473637187</v>
      </c>
      <c r="E148" s="474">
        <f>'CBS ($ per kW)'!N57</f>
        <v>29.059874888293123</v>
      </c>
      <c r="F148" s="474">
        <f>'CBS ($ per kW)'!P57</f>
        <v>29.059874888293123</v>
      </c>
    </row>
    <row r="149" spans="2:6" s="768" customFormat="1" ht="15" x14ac:dyDescent="0.25">
      <c r="B149" s="768" t="str">
        <f>'CBS ($ per kW)'!C58</f>
        <v>Shoreside Operations</v>
      </c>
      <c r="C149" s="474">
        <f>'CBS ($ per kW)'!J58</f>
        <v>701.23592493297588</v>
      </c>
      <c r="D149" s="474">
        <f>'CBS ($ per kW)'!L58</f>
        <v>107.22144772117963</v>
      </c>
      <c r="E149" s="474">
        <f>'CBS ($ per kW)'!N58</f>
        <v>24.380268096514744</v>
      </c>
      <c r="F149" s="474">
        <f>'CBS ($ per kW)'!P58</f>
        <v>18.086702412868632</v>
      </c>
    </row>
    <row r="150" spans="2:6" s="768" customFormat="1" ht="15" x14ac:dyDescent="0.25">
      <c r="B150" s="768" t="str">
        <f>'CBS ($ per kW)'!C59</f>
        <v>Replacement Parts</v>
      </c>
      <c r="C150" s="474">
        <f>'CBS ($ per kW)'!J59</f>
        <v>125.35942913265255</v>
      </c>
      <c r="D150" s="474">
        <f>'CBS ($ per kW)'!L59</f>
        <v>11.446394660361644</v>
      </c>
      <c r="E150" s="474">
        <f>'CBS ($ per kW)'!N59</f>
        <v>2.1483131232039501</v>
      </c>
      <c r="F150" s="474">
        <f>'CBS ($ per kW)'!P59</f>
        <v>1.8312766999033421</v>
      </c>
    </row>
    <row r="151" spans="2:6" s="768" customFormat="1" ht="15" x14ac:dyDescent="0.25">
      <c r="B151" s="768" t="str">
        <f>'CBS ($ per kW)'!C60</f>
        <v>Consumables</v>
      </c>
      <c r="C151" s="474">
        <f>'CBS ($ per kW)'!J60</f>
        <v>5.3619302949061662</v>
      </c>
      <c r="D151" s="474">
        <f>'CBS ($ per kW)'!L60</f>
        <v>5.3619302949061662</v>
      </c>
      <c r="E151" s="474">
        <f>'CBS ($ per kW)'!N60</f>
        <v>5.3619302949061662</v>
      </c>
      <c r="F151" s="474">
        <f>'CBS ($ per kW)'!P60</f>
        <v>5.3619302949061662</v>
      </c>
    </row>
    <row r="152" spans="2:6" s="768" customFormat="1" ht="15" x14ac:dyDescent="0.25"/>
    <row r="153" spans="2:6" s="768" customFormat="1" ht="15" x14ac:dyDescent="0.25"/>
    <row r="154" spans="2:6" s="768" customFormat="1" ht="15" x14ac:dyDescent="0.25"/>
    <row r="155" spans="2:6" s="768" customFormat="1" ht="15" x14ac:dyDescent="0.25"/>
    <row r="156" spans="2:6" s="768" customFormat="1" ht="15" x14ac:dyDescent="0.25"/>
    <row r="157" spans="2:6" s="768" customFormat="1" ht="15" x14ac:dyDescent="0.25"/>
    <row r="158" spans="2:6" s="768" customFormat="1" ht="15" x14ac:dyDescent="0.25"/>
    <row r="159" spans="2:6" s="768" customFormat="1" ht="15" x14ac:dyDescent="0.25"/>
    <row r="160" spans="2:6" s="768" customFormat="1" ht="15" x14ac:dyDescent="0.25"/>
    <row r="161" spans="2:14" s="768" customFormat="1" ht="15" x14ac:dyDescent="0.25"/>
    <row r="162" spans="2:14" s="768" customFormat="1" ht="15" x14ac:dyDescent="0.25"/>
    <row r="163" spans="2:14" s="768" customFormat="1" ht="15" x14ac:dyDescent="0.25"/>
    <row r="164" spans="2:14" s="768" customFormat="1" ht="15" x14ac:dyDescent="0.25"/>
    <row r="165" spans="2:14" s="768" customFormat="1" ht="15" x14ac:dyDescent="0.25"/>
    <row r="166" spans="2:14" s="768" customFormat="1" ht="15" x14ac:dyDescent="0.25"/>
    <row r="167" spans="2:14" s="768" customFormat="1" ht="15" x14ac:dyDescent="0.25"/>
    <row r="168" spans="2:14" s="768" customFormat="1" ht="15" x14ac:dyDescent="0.25"/>
    <row r="169" spans="2:14" s="768" customFormat="1" ht="15" x14ac:dyDescent="0.25"/>
    <row r="170" spans="2:14" s="768" customFormat="1" ht="15" x14ac:dyDescent="0.25"/>
    <row r="171" spans="2:14" s="768" customFormat="1" ht="15" x14ac:dyDescent="0.25"/>
    <row r="172" spans="2:14" s="768" customFormat="1" ht="15" x14ac:dyDescent="0.25"/>
    <row r="173" spans="2:14" s="768" customFormat="1" ht="15" x14ac:dyDescent="0.25"/>
    <row r="174" spans="2:14" s="768" customFormat="1" ht="15" x14ac:dyDescent="0.25">
      <c r="B174" s="768" t="s">
        <v>838</v>
      </c>
      <c r="L174" s="768" t="s">
        <v>88</v>
      </c>
    </row>
    <row r="175" spans="2:14" s="768" customFormat="1" ht="15" x14ac:dyDescent="0.25">
      <c r="C175" s="768">
        <v>1</v>
      </c>
      <c r="D175" s="768">
        <v>10</v>
      </c>
      <c r="E175" s="768">
        <v>50</v>
      </c>
      <c r="F175" s="768">
        <v>100</v>
      </c>
      <c r="L175" s="818"/>
      <c r="M175" s="822" t="s">
        <v>194</v>
      </c>
      <c r="N175" s="822" t="s">
        <v>841</v>
      </c>
    </row>
    <row r="176" spans="2:14" ht="15" x14ac:dyDescent="0.25">
      <c r="B176" s="768" t="s">
        <v>839</v>
      </c>
      <c r="C176" s="324">
        <f>'CBS (CoE)'!J62</f>
        <v>172.42799368611398</v>
      </c>
      <c r="D176" s="324">
        <f>'CBS (CoE)'!L62</f>
        <v>43.499775380579209</v>
      </c>
      <c r="E176" s="324">
        <f>'CBS (CoE)'!N62</f>
        <v>13.604553812471632</v>
      </c>
      <c r="F176" s="324">
        <f>'CBS (CoE)'!P62</f>
        <v>7.623550407208322</v>
      </c>
      <c r="H176" s="768"/>
      <c r="J176" s="768"/>
      <c r="K176" s="768"/>
      <c r="L176" s="816" t="str">
        <f>B180</f>
        <v>Development</v>
      </c>
      <c r="M176" s="820">
        <f>D180</f>
        <v>27.479032228795905</v>
      </c>
      <c r="N176" s="821">
        <f>M176/$M$181</f>
        <v>0.13878667288511029</v>
      </c>
    </row>
    <row r="177" spans="2:14" ht="15" x14ac:dyDescent="0.25">
      <c r="B177" t="s">
        <v>143</v>
      </c>
      <c r="C177" s="324">
        <f>'CBS (CoE)'!J50</f>
        <v>27.863110759163241</v>
      </c>
      <c r="D177" s="324">
        <f>'CBS (CoE)'!L50</f>
        <v>14.044997448727113</v>
      </c>
      <c r="E177" s="324">
        <f>'CBS (CoE)'!N50</f>
        <v>9.7069702765286703</v>
      </c>
      <c r="F177" s="324">
        <f>'CBS (CoE)'!P50</f>
        <v>8.9724248205127761</v>
      </c>
      <c r="H177" s="768"/>
      <c r="J177" s="768"/>
      <c r="K177" s="768"/>
      <c r="L177" s="816" t="str">
        <f>B179</f>
        <v xml:space="preserve">M&amp;D </v>
      </c>
      <c r="M177" s="820">
        <f>D179</f>
        <v>105.34928112227202</v>
      </c>
      <c r="N177" s="821">
        <f t="shared" ref="N177:N180" si="17">M177/$M$181</f>
        <v>0.53208119179963453</v>
      </c>
    </row>
    <row r="178" spans="2:14" ht="15" x14ac:dyDescent="0.25">
      <c r="B178" t="s">
        <v>72</v>
      </c>
      <c r="C178" s="324">
        <f>'CBS (CoE)'!J41</f>
        <v>11.139466221636543</v>
      </c>
      <c r="D178" s="324">
        <f>'CBS (CoE)'!L41</f>
        <v>7.621661136203211</v>
      </c>
      <c r="E178" s="324">
        <f>'CBS (CoE)'!N41</f>
        <v>6.536465414958907</v>
      </c>
      <c r="F178" s="324">
        <f>'CBS (CoE)'!P41</f>
        <v>6.2592584165462011</v>
      </c>
      <c r="H178" s="768"/>
      <c r="J178" s="768"/>
      <c r="K178" s="768"/>
      <c r="L178" s="816" t="str">
        <f>B178</f>
        <v>Subsystem Integration &amp; Profit Margin</v>
      </c>
      <c r="M178" s="820">
        <f>D178</f>
        <v>7.621661136203211</v>
      </c>
      <c r="N178" s="821">
        <f t="shared" si="17"/>
        <v>3.8494259264448043E-2</v>
      </c>
    </row>
    <row r="179" spans="2:14" ht="15" x14ac:dyDescent="0.25">
      <c r="B179" t="s">
        <v>840</v>
      </c>
      <c r="C179" s="324">
        <f>'CBS (CoE)'!J42+'CBS (CoE)'!J31+'CBS (CoE)'!J26+'CBS (CoE)'!J20+'CBS (CoE)'!J14</f>
        <v>205.2781781956561</v>
      </c>
      <c r="D179" s="324">
        <f>'CBS (CoE)'!L42+'CBS (CoE)'!L31+'CBS (CoE)'!L26+'CBS (CoE)'!L20+'CBS (CoE)'!L14</f>
        <v>105.34928112227202</v>
      </c>
      <c r="E179" s="324">
        <f>'CBS (CoE)'!N42+'CBS (CoE)'!N31+'CBS (CoE)'!N26+'CBS (CoE)'!N20+'CBS (CoE)'!N14</f>
        <v>83.03011812989611</v>
      </c>
      <c r="F179" s="324">
        <f>'CBS (CoE)'!P42+'CBS (CoE)'!P31+'CBS (CoE)'!P26+'CBS (CoE)'!P20+'CBS (CoE)'!P14</f>
        <v>79.776735037846507</v>
      </c>
      <c r="H179" s="768"/>
      <c r="J179" s="768"/>
      <c r="K179" s="768"/>
      <c r="L179" s="816" t="str">
        <f>B177</f>
        <v>Contingency</v>
      </c>
      <c r="M179" s="820">
        <f>D177</f>
        <v>14.044997448727113</v>
      </c>
      <c r="N179" s="821">
        <f t="shared" si="17"/>
        <v>7.093621239491929E-2</v>
      </c>
    </row>
    <row r="180" spans="2:14" ht="15" x14ac:dyDescent="0.25">
      <c r="B180" t="s">
        <v>100</v>
      </c>
      <c r="C180" s="324">
        <f>'CBS (CoE)'!J6</f>
        <v>62.213463174339743</v>
      </c>
      <c r="D180" s="324">
        <f>'CBS (CoE)'!L6</f>
        <v>27.479032228795905</v>
      </c>
      <c r="E180" s="324">
        <f>'CBS (CoE)'!N6</f>
        <v>7.5031192204316524</v>
      </c>
      <c r="F180" s="324">
        <f>'CBS (CoE)'!P6</f>
        <v>3.6882547507350529</v>
      </c>
      <c r="H180" s="768"/>
      <c r="J180" s="768"/>
      <c r="K180" s="768"/>
      <c r="L180" s="816" t="str">
        <f>B176</f>
        <v>O&amp;M</v>
      </c>
      <c r="M180" s="820">
        <f>D176</f>
        <v>43.499775380579209</v>
      </c>
      <c r="N180" s="821">
        <f t="shared" si="17"/>
        <v>0.21970166365588789</v>
      </c>
    </row>
    <row r="181" spans="2:14" ht="15" x14ac:dyDescent="0.25">
      <c r="C181" s="324"/>
      <c r="D181" s="324"/>
      <c r="E181" s="324"/>
      <c r="F181" s="324"/>
      <c r="L181" s="819" t="s">
        <v>81</v>
      </c>
      <c r="M181" s="820">
        <f>SUM(M176:M180)</f>
        <v>197.99474731657745</v>
      </c>
      <c r="N181" s="821">
        <f>SUM(N176:N180)</f>
        <v>1</v>
      </c>
    </row>
    <row r="182" spans="2:14" ht="15" x14ac:dyDescent="0.25">
      <c r="C182" s="324">
        <f>SUM(C176:C180)</f>
        <v>478.92221203690963</v>
      </c>
      <c r="D182" s="324">
        <f t="shared" ref="D182:F182" si="18">SUM(D176:D180)</f>
        <v>197.99474731657747</v>
      </c>
      <c r="E182" s="324">
        <f t="shared" si="18"/>
        <v>120.38122685428698</v>
      </c>
      <c r="F182" s="324">
        <f t="shared" si="18"/>
        <v>106.32022343284886</v>
      </c>
    </row>
    <row r="194" spans="2:14" s="768" customFormat="1" ht="15" x14ac:dyDescent="0.25"/>
    <row r="195" spans="2:14" s="768" customFormat="1" ht="15" x14ac:dyDescent="0.25"/>
    <row r="196" spans="2:14" s="768" customFormat="1" ht="15" x14ac:dyDescent="0.25"/>
    <row r="197" spans="2:14" s="768" customFormat="1" ht="15" x14ac:dyDescent="0.25"/>
    <row r="198" spans="2:14" s="768" customFormat="1" ht="15" x14ac:dyDescent="0.25"/>
    <row r="199" spans="2:14" s="768" customFormat="1" ht="15" x14ac:dyDescent="0.25"/>
    <row r="200" spans="2:14" s="768" customFormat="1" ht="15" x14ac:dyDescent="0.25"/>
    <row r="201" spans="2:14" s="768" customFormat="1" ht="15" x14ac:dyDescent="0.25"/>
    <row r="202" spans="2:14" s="768" customFormat="1" ht="15" x14ac:dyDescent="0.25"/>
    <row r="203" spans="2:14" s="768" customFormat="1" ht="15" x14ac:dyDescent="0.25"/>
    <row r="204" spans="2:14" s="768" customFormat="1" ht="15" x14ac:dyDescent="0.25"/>
    <row r="205" spans="2:14" s="768" customFormat="1" ht="15" x14ac:dyDescent="0.25">
      <c r="B205" s="768" t="s">
        <v>842</v>
      </c>
      <c r="L205" s="768" t="s">
        <v>88</v>
      </c>
    </row>
    <row r="206" spans="2:14" s="768" customFormat="1" ht="15" x14ac:dyDescent="0.25">
      <c r="C206" s="768">
        <v>1</v>
      </c>
      <c r="D206" s="768">
        <v>10</v>
      </c>
      <c r="E206" s="768">
        <v>50</v>
      </c>
      <c r="F206" s="768">
        <v>100</v>
      </c>
      <c r="L206" s="823"/>
      <c r="M206" s="824" t="s">
        <v>194</v>
      </c>
      <c r="N206" s="824" t="s">
        <v>845</v>
      </c>
    </row>
    <row r="207" spans="2:14" s="768" customFormat="1" ht="15" x14ac:dyDescent="0.25">
      <c r="B207" s="768" t="str">
        <f>'CBS (CoE)'!C50</f>
        <v>Contingency</v>
      </c>
      <c r="C207" s="324">
        <f>'CBS (CoE)'!J50</f>
        <v>27.863110759163241</v>
      </c>
      <c r="D207" s="324">
        <f>'CBS (CoE)'!L50</f>
        <v>14.044997448727113</v>
      </c>
      <c r="E207" s="324">
        <f>'CBS (CoE)'!N50</f>
        <v>9.7069702765286703</v>
      </c>
      <c r="F207" s="324">
        <f>'CBS (CoE)'!P50</f>
        <v>8.9724248205127761</v>
      </c>
      <c r="G207" s="399">
        <f>F207/$F$218</f>
        <v>9.0909090909090898E-2</v>
      </c>
      <c r="L207" s="816" t="s">
        <v>844</v>
      </c>
      <c r="M207" s="820">
        <f>D216</f>
        <v>4.0907759559399359</v>
      </c>
      <c r="N207" s="821">
        <f>M207/$M$217</f>
        <v>2.6478375992939097E-2</v>
      </c>
    </row>
    <row r="208" spans="2:14" s="768" customFormat="1" ht="15" x14ac:dyDescent="0.25">
      <c r="B208" s="768" t="str">
        <f>'CBS (CoE)'!C41</f>
        <v>Subsystem Integration &amp; Profit Margin</v>
      </c>
      <c r="C208" s="324">
        <f>'CBS (CoE)'!J41</f>
        <v>11.139466221636543</v>
      </c>
      <c r="D208" s="324">
        <f>'CBS (CoE)'!L41</f>
        <v>7.621661136203211</v>
      </c>
      <c r="E208" s="324">
        <f>'CBS (CoE)'!N41</f>
        <v>6.536465414958907</v>
      </c>
      <c r="F208" s="324">
        <f>'CBS (CoE)'!P41</f>
        <v>6.2592584165462011</v>
      </c>
      <c r="G208" s="399">
        <f t="shared" ref="G208:G216" si="19">F208/$F$218</f>
        <v>6.3419142962601177E-2</v>
      </c>
      <c r="L208" s="816" t="str">
        <f>B215</f>
        <v>Site Assessment</v>
      </c>
      <c r="M208" s="820">
        <f>D215</f>
        <v>0.35147834867372063</v>
      </c>
      <c r="N208" s="821">
        <f t="shared" ref="N208:N216" si="20">M208/$M$217</f>
        <v>2.2750148064321833E-3</v>
      </c>
    </row>
    <row r="209" spans="2:14" s="768" customFormat="1" ht="15" x14ac:dyDescent="0.25">
      <c r="B209" s="768" t="str">
        <f>'CBS (CoE)'!C42</f>
        <v>Installation</v>
      </c>
      <c r="C209" s="324">
        <f>'CBS (CoE)'!J42</f>
        <v>70.622002633814219</v>
      </c>
      <c r="D209" s="324">
        <f>'CBS (CoE)'!L42</f>
        <v>10.855288281729731</v>
      </c>
      <c r="E209" s="324">
        <f>'CBS (CoE)'!N42</f>
        <v>5.1470678129388405</v>
      </c>
      <c r="F209" s="324">
        <f>'CBS (CoE)'!P42</f>
        <v>4.5251925298076561</v>
      </c>
      <c r="G209" s="399">
        <f t="shared" si="19"/>
        <v>4.5849494122583545E-2</v>
      </c>
      <c r="L209" s="816" t="str">
        <f>B214</f>
        <v>Permitting and Environmental Compliance</v>
      </c>
      <c r="M209" s="820">
        <f>D214</f>
        <v>23.036777924182246</v>
      </c>
      <c r="N209" s="821">
        <f t="shared" si="20"/>
        <v>0.14911021139073419</v>
      </c>
    </row>
    <row r="210" spans="2:14" s="768" customFormat="1" ht="15" x14ac:dyDescent="0.25">
      <c r="B210" s="768" t="s">
        <v>843</v>
      </c>
      <c r="C210" s="324">
        <f>'CBS (CoE)'!J31</f>
        <v>19.569288558961055</v>
      </c>
      <c r="D210" s="324">
        <f>'CBS (CoE)'!L31</f>
        <v>11.653002870731333</v>
      </c>
      <c r="E210" s="324">
        <f>'CBS (CoE)'!N31</f>
        <v>8.1716442127287792</v>
      </c>
      <c r="F210" s="324">
        <f>'CBS (CoE)'!P31</f>
        <v>7.0296104473722023</v>
      </c>
      <c r="G210" s="399">
        <f t="shared" si="19"/>
        <v>7.1224391176245322E-2</v>
      </c>
      <c r="L210" s="816" t="str">
        <f>B213</f>
        <v>Infrastructure</v>
      </c>
      <c r="M210" s="820">
        <f>D213</f>
        <v>9.3827642464954799</v>
      </c>
      <c r="N210" s="821">
        <f t="shared" si="20"/>
        <v>6.0731842136470461E-2</v>
      </c>
    </row>
    <row r="211" spans="2:14" s="768" customFormat="1" ht="15" x14ac:dyDescent="0.25">
      <c r="B211" s="768" t="str">
        <f>'CBS (CoE)'!C26</f>
        <v>Device Structural Components</v>
      </c>
      <c r="C211" s="324">
        <f>'CBS (CoE)'!J26</f>
        <v>91.825373657404356</v>
      </c>
      <c r="D211" s="324">
        <f>'CBS (CoE)'!L26</f>
        <v>64.563608491300783</v>
      </c>
      <c r="E211" s="324">
        <f>'CBS (CoE)'!N26</f>
        <v>57.1930099368603</v>
      </c>
      <c r="F211" s="324">
        <f>'CBS (CoE)'!P26</f>
        <v>55.5629737180898</v>
      </c>
      <c r="G211" s="399">
        <f t="shared" si="19"/>
        <v>0.56296703844976637</v>
      </c>
      <c r="L211" s="816" t="str">
        <f>B212</f>
        <v>Mooring/Foundation</v>
      </c>
      <c r="M211" s="820">
        <f>D212</f>
        <v>8.8946172320146974</v>
      </c>
      <c r="N211" s="821">
        <f t="shared" si="20"/>
        <v>5.7572211707313165E-2</v>
      </c>
    </row>
    <row r="212" spans="2:14" ht="15" x14ac:dyDescent="0.25">
      <c r="B212" t="str">
        <f>'CBS (CoE)'!C20</f>
        <v>Mooring/Foundation</v>
      </c>
      <c r="C212" s="324">
        <f>'CBS (CoE)'!J20</f>
        <v>9.9822126093535495</v>
      </c>
      <c r="D212" s="324">
        <f>'CBS (CoE)'!L20</f>
        <v>8.8946172320146974</v>
      </c>
      <c r="E212" s="324">
        <f>'CBS (CoE)'!N20</f>
        <v>8.64863342539957</v>
      </c>
      <c r="F212" s="324">
        <f>'CBS (CoE)'!P20</f>
        <v>8.4026496187844391</v>
      </c>
      <c r="G212" s="399">
        <f t="shared" si="19"/>
        <v>8.5136097916912581E-2</v>
      </c>
      <c r="H212" s="768"/>
      <c r="J212" s="768"/>
      <c r="K212" s="768"/>
      <c r="L212" s="816" t="str">
        <f>B211</f>
        <v>Device Structural Components</v>
      </c>
      <c r="M212" s="820">
        <f>D211</f>
        <v>64.563608491300783</v>
      </c>
      <c r="N212" s="821">
        <f t="shared" si="20"/>
        <v>0.41790103381517929</v>
      </c>
    </row>
    <row r="213" spans="2:14" ht="15" x14ac:dyDescent="0.25">
      <c r="B213" t="str">
        <f>'CBS (CoE)'!C14</f>
        <v>Infrastructure</v>
      </c>
      <c r="C213" s="324">
        <f>'CBS (CoE)'!J14</f>
        <v>13.279300736122902</v>
      </c>
      <c r="D213" s="324">
        <f>'CBS (CoE)'!L14</f>
        <v>9.3827642464954799</v>
      </c>
      <c r="E213" s="324">
        <f>'CBS (CoE)'!N14</f>
        <v>3.8697627419686329</v>
      </c>
      <c r="F213" s="324">
        <f>'CBS (CoE)'!P14</f>
        <v>4.2563087237924089</v>
      </c>
      <c r="G213" s="399">
        <f t="shared" si="19"/>
        <v>4.312514893674943E-2</v>
      </c>
      <c r="H213" s="768"/>
      <c r="J213" s="768"/>
      <c r="K213" s="768"/>
      <c r="L213" s="816" t="str">
        <f>B210</f>
        <v>PCC</v>
      </c>
      <c r="M213" s="820">
        <f>D210</f>
        <v>11.653002870731333</v>
      </c>
      <c r="N213" s="821">
        <f t="shared" si="20"/>
        <v>7.5426421486122899E-2</v>
      </c>
    </row>
    <row r="214" spans="2:14" ht="15" x14ac:dyDescent="0.25">
      <c r="B214" t="str">
        <f>'CBS (CoE)'!D7</f>
        <v>Permitting and Environmental Compliance</v>
      </c>
      <c r="C214" s="324">
        <f>'CBS (CoE)'!J7</f>
        <v>46.626959650418939</v>
      </c>
      <c r="D214" s="324">
        <f>'CBS (CoE)'!L7</f>
        <v>23.036777924182246</v>
      </c>
      <c r="E214" s="324">
        <f>'CBS (CoE)'!N7</f>
        <v>5.5294960454952093</v>
      </c>
      <c r="F214" s="324">
        <f>'CBS (CoE)'!P7</f>
        <v>2.7647480227476047</v>
      </c>
      <c r="G214" s="399">
        <f t="shared" si="19"/>
        <v>2.8012575682559705E-2</v>
      </c>
      <c r="H214" s="768"/>
      <c r="J214" s="768"/>
      <c r="K214" s="768"/>
      <c r="L214" s="816" t="str">
        <f>B209</f>
        <v>Installation</v>
      </c>
      <c r="M214" s="820">
        <f>D209</f>
        <v>10.855288281729731</v>
      </c>
      <c r="N214" s="821">
        <f t="shared" si="20"/>
        <v>7.0263052225587569E-2</v>
      </c>
    </row>
    <row r="215" spans="2:14" ht="15" x14ac:dyDescent="0.25">
      <c r="B215" t="str">
        <f>'CBS (CoE)'!D12</f>
        <v>Site Assessment</v>
      </c>
      <c r="C215" s="324">
        <f>'CBS (CoE)'!J12</f>
        <v>2.3183555433668825</v>
      </c>
      <c r="D215" s="324">
        <f>'CBS (CoE)'!L12</f>
        <v>0.35147834867372063</v>
      </c>
      <c r="E215" s="324">
        <f>'CBS (CoE)'!N12</f>
        <v>7.0295669734744132E-2</v>
      </c>
      <c r="F215" s="324">
        <f>'CBS (CoE)'!P12</f>
        <v>3.5147834867372066E-2</v>
      </c>
      <c r="G215" s="399">
        <f t="shared" si="19"/>
        <v>3.5611975348187228E-4</v>
      </c>
      <c r="H215" s="768"/>
      <c r="J215" s="768"/>
      <c r="K215" s="768"/>
      <c r="L215" s="816" t="str">
        <f>B208</f>
        <v>Subsystem Integration &amp; Profit Margin</v>
      </c>
      <c r="M215" s="820">
        <f>D208</f>
        <v>7.621661136203211</v>
      </c>
      <c r="N215" s="821">
        <f t="shared" si="20"/>
        <v>4.9332745530130215E-2</v>
      </c>
    </row>
    <row r="216" spans="2:14" ht="15" x14ac:dyDescent="0.25">
      <c r="B216" t="str">
        <f>'CBS (CoE)'!D13</f>
        <v>Project Design, Engineering, and Management</v>
      </c>
      <c r="C216" s="324">
        <f>'CBS (CoE)'!J13</f>
        <v>13.268147980553925</v>
      </c>
      <c r="D216" s="324">
        <f>'CBS (CoE)'!L13</f>
        <v>4.0907759559399359</v>
      </c>
      <c r="E216" s="324">
        <f>'CBS (CoE)'!N13</f>
        <v>1.9033275052016996</v>
      </c>
      <c r="F216" s="324">
        <f>'CBS (CoE)'!P13</f>
        <v>0.88835889312007699</v>
      </c>
      <c r="G216" s="399">
        <f t="shared" si="19"/>
        <v>9.0009000900090012E-3</v>
      </c>
      <c r="H216" s="768"/>
      <c r="J216" s="768"/>
      <c r="K216" s="768"/>
      <c r="L216" s="816" t="str">
        <f>B207</f>
        <v>Contingency</v>
      </c>
      <c r="M216" s="820">
        <f>D207</f>
        <v>14.044997448727113</v>
      </c>
      <c r="N216" s="821">
        <f t="shared" si="20"/>
        <v>9.0909090909090898E-2</v>
      </c>
    </row>
    <row r="217" spans="2:14" ht="15" x14ac:dyDescent="0.25">
      <c r="C217" s="324"/>
      <c r="D217" s="324"/>
      <c r="E217" s="324"/>
      <c r="F217" s="324"/>
      <c r="L217" s="819" t="s">
        <v>559</v>
      </c>
      <c r="M217" s="820">
        <f>SUM(M207:M216)</f>
        <v>154.49497193599825</v>
      </c>
      <c r="N217" s="821">
        <f>SUM(N207:N216)</f>
        <v>1</v>
      </c>
    </row>
    <row r="218" spans="2:14" ht="15" x14ac:dyDescent="0.25">
      <c r="C218" s="324">
        <f>SUM(C207:C216)</f>
        <v>306.49421835079556</v>
      </c>
      <c r="D218" s="324">
        <f t="shared" ref="D218:F218" si="21">SUM(D207:D216)</f>
        <v>154.49497193599825</v>
      </c>
      <c r="E218" s="324">
        <f t="shared" si="21"/>
        <v>106.77667304181534</v>
      </c>
      <c r="F218" s="324">
        <f t="shared" si="21"/>
        <v>98.69667302564055</v>
      </c>
    </row>
    <row r="246" spans="2:14" ht="15" x14ac:dyDescent="0.25">
      <c r="B246" t="s">
        <v>846</v>
      </c>
      <c r="L246" t="s">
        <v>887</v>
      </c>
    </row>
    <row r="247" spans="2:14" ht="15" x14ac:dyDescent="0.25">
      <c r="C247">
        <v>1</v>
      </c>
      <c r="D247">
        <v>10</v>
      </c>
      <c r="E247">
        <v>50</v>
      </c>
      <c r="F247">
        <v>100</v>
      </c>
      <c r="L247" s="817"/>
      <c r="M247" s="822" t="s">
        <v>194</v>
      </c>
      <c r="N247" s="822" t="s">
        <v>848</v>
      </c>
    </row>
    <row r="248" spans="2:14" ht="15" x14ac:dyDescent="0.25">
      <c r="B248" t="s">
        <v>847</v>
      </c>
      <c r="C248" s="324">
        <f>'CBS (CoE)'!J56</f>
        <v>94.576298184135055</v>
      </c>
      <c r="D248" s="324">
        <f>'CBS (CoE)'!L56</f>
        <v>14.003929064457893</v>
      </c>
      <c r="E248" s="324">
        <f>'CBS (CoE)'!N56</f>
        <v>2.8007858128915784</v>
      </c>
      <c r="F248" s="324">
        <f>'CBS (CoE)'!P56</f>
        <v>1.4003929064457892</v>
      </c>
      <c r="H248" s="768"/>
      <c r="J248" s="768"/>
      <c r="K248" s="768"/>
      <c r="L248" s="816" t="str">
        <f>B253</f>
        <v>Marine Operations</v>
      </c>
      <c r="M248" s="826">
        <f>D253</f>
        <v>3.4685350371078307</v>
      </c>
      <c r="N248" s="821">
        <f>M248/$M$254</f>
        <v>7.9736849369028764E-2</v>
      </c>
    </row>
    <row r="249" spans="2:14" ht="15" x14ac:dyDescent="0.25">
      <c r="B249" t="str">
        <f>'CBS (CoE)'!C55</f>
        <v>Insurance</v>
      </c>
      <c r="C249" s="324">
        <f>'CBS (CoE)'!J55</f>
        <v>40.056934505338731</v>
      </c>
      <c r="D249" s="324">
        <f>'CBS (CoE)'!L55</f>
        <v>20.909892292925068</v>
      </c>
      <c r="E249" s="324">
        <f>'CBS (CoE)'!N55</f>
        <v>8.2889793495888568</v>
      </c>
      <c r="F249" s="324">
        <f>'CBS (CoE)'!P55</f>
        <v>3.9811196589165263</v>
      </c>
      <c r="H249" s="768"/>
      <c r="J249" s="768"/>
      <c r="K249" s="768"/>
      <c r="L249" s="816" t="str">
        <f>B252</f>
        <v>Shoreside Operations</v>
      </c>
      <c r="M249" s="826">
        <f>D252</f>
        <v>4.4239141977275134</v>
      </c>
      <c r="N249" s="821">
        <f t="shared" ref="N249:N253" si="22">M249/$M$254</f>
        <v>0.10169970210242973</v>
      </c>
    </row>
    <row r="250" spans="2:14" ht="15" x14ac:dyDescent="0.25">
      <c r="B250" t="str">
        <f>'CBS (CoE)'!C60</f>
        <v>Consumables</v>
      </c>
      <c r="C250" s="324">
        <f>'CBS (CoE)'!J60</f>
        <v>0.2212311068634738</v>
      </c>
      <c r="D250" s="324">
        <f>'CBS (CoE)'!L60</f>
        <v>0.2212311068634738</v>
      </c>
      <c r="E250" s="324">
        <f>'CBS (CoE)'!N60</f>
        <v>0.22123110686347386</v>
      </c>
      <c r="F250" s="324">
        <f>'CBS (CoE)'!P60</f>
        <v>0.22123110686347386</v>
      </c>
      <c r="H250" s="768"/>
      <c r="J250" s="768"/>
      <c r="K250" s="768"/>
      <c r="L250" s="816" t="str">
        <f>B251</f>
        <v>Replacement Parts</v>
      </c>
      <c r="M250" s="826">
        <f>D251</f>
        <v>0.47227368149743515</v>
      </c>
      <c r="N250" s="821">
        <f t="shared" si="22"/>
        <v>1.0856922302828375E-2</v>
      </c>
    </row>
    <row r="251" spans="2:14" ht="15" x14ac:dyDescent="0.25">
      <c r="B251" t="str">
        <f>'CBS (CoE)'!C59</f>
        <v>Replacement Parts</v>
      </c>
      <c r="C251" s="324">
        <f>'CBS (CoE)'!J59</f>
        <v>5.1722800815103218</v>
      </c>
      <c r="D251" s="324">
        <f>'CBS (CoE)'!L59</f>
        <v>0.47227368149743515</v>
      </c>
      <c r="E251" s="324">
        <f>'CBS (CoE)'!N59</f>
        <v>8.8638543210314807E-2</v>
      </c>
      <c r="F251" s="324">
        <f>'CBS (CoE)'!P59</f>
        <v>7.5557746746126961E-2</v>
      </c>
      <c r="H251" s="768"/>
      <c r="J251" s="768"/>
      <c r="K251" s="768"/>
      <c r="L251" s="816" t="str">
        <f>B250</f>
        <v>Consumables</v>
      </c>
      <c r="M251" s="826">
        <f>D250</f>
        <v>0.2212311068634738</v>
      </c>
      <c r="N251" s="821">
        <f t="shared" si="22"/>
        <v>5.0857988329347558E-3</v>
      </c>
    </row>
    <row r="252" spans="2:14" ht="15" x14ac:dyDescent="0.25">
      <c r="B252" t="str">
        <f>'CBS (CoE)'!C58</f>
        <v>Shoreside Operations</v>
      </c>
      <c r="C252" s="324">
        <f>'CBS (CoE)'!J58</f>
        <v>28.932714771158537</v>
      </c>
      <c r="D252" s="324">
        <f>'CBS (CoE)'!L58</f>
        <v>4.4239141977275134</v>
      </c>
      <c r="E252" s="324">
        <f>'CBS (CoE)'!N58</f>
        <v>1.0059201444196666</v>
      </c>
      <c r="F252" s="324">
        <f>'CBS (CoE)'!P58</f>
        <v>0.74625013273866403</v>
      </c>
      <c r="H252" s="768"/>
      <c r="J252" s="768"/>
      <c r="K252" s="768"/>
      <c r="L252" s="816" t="str">
        <f>B249</f>
        <v>Insurance</v>
      </c>
      <c r="M252" s="826">
        <f>D249</f>
        <v>20.909892292925068</v>
      </c>
      <c r="N252" s="821">
        <f t="shared" si="22"/>
        <v>0.48068966126800827</v>
      </c>
    </row>
    <row r="253" spans="2:14" ht="15" x14ac:dyDescent="0.25">
      <c r="B253" t="str">
        <f>'CBS (CoE)'!C57</f>
        <v>Marine Operations</v>
      </c>
      <c r="C253" s="324">
        <f>'CBS (CoE)'!J57</f>
        <v>3.4685350371078307</v>
      </c>
      <c r="D253" s="324">
        <f>'CBS (CoE)'!L57</f>
        <v>3.4685350371078307</v>
      </c>
      <c r="E253" s="324">
        <f>'CBS (CoE)'!N57</f>
        <v>1.1989988554977404</v>
      </c>
      <c r="F253" s="324">
        <f>'CBS (CoE)'!P57</f>
        <v>1.1989988554977404</v>
      </c>
      <c r="H253" s="768"/>
      <c r="J253" s="768"/>
      <c r="K253" s="768"/>
      <c r="L253" s="816" t="str">
        <f>B248</f>
        <v>Post-Installation Environmental Monitoring</v>
      </c>
      <c r="M253" s="826">
        <f>D248</f>
        <v>14.003929064457893</v>
      </c>
      <c r="N253" s="821">
        <f t="shared" si="22"/>
        <v>0.32193106612477007</v>
      </c>
    </row>
    <row r="254" spans="2:14" ht="15" x14ac:dyDescent="0.25">
      <c r="C254" s="324">
        <f>SUM(C248:C253)</f>
        <v>172.42799368611398</v>
      </c>
      <c r="D254" s="324">
        <f t="shared" ref="D254:F254" si="23">SUM(D248:D253)</f>
        <v>43.499775380579209</v>
      </c>
      <c r="E254" s="324">
        <f t="shared" si="23"/>
        <v>13.604553812471632</v>
      </c>
      <c r="F254" s="324">
        <f t="shared" si="23"/>
        <v>7.623550407208322</v>
      </c>
      <c r="L254" s="819" t="s">
        <v>81</v>
      </c>
      <c r="M254" s="826">
        <f>SUM(M248:M253)</f>
        <v>43.499775380579216</v>
      </c>
      <c r="N254" s="821">
        <f>SUM(N248:N253)</f>
        <v>1</v>
      </c>
    </row>
    <row r="276" spans="2:6" ht="15" x14ac:dyDescent="0.25">
      <c r="B276" s="797" t="s">
        <v>808</v>
      </c>
      <c r="C276" s="73"/>
      <c r="D276" s="73"/>
      <c r="E276" s="73"/>
      <c r="F276" s="798"/>
    </row>
    <row r="277" spans="2:6" ht="15" x14ac:dyDescent="0.25">
      <c r="B277" s="718"/>
      <c r="C277" s="490">
        <v>1</v>
      </c>
      <c r="D277" s="490">
        <v>10</v>
      </c>
      <c r="E277" s="490">
        <v>50</v>
      </c>
      <c r="F277" s="720">
        <v>100</v>
      </c>
    </row>
    <row r="278" spans="2:6" ht="15" x14ac:dyDescent="0.25">
      <c r="B278" s="718" t="str">
        <f>'CBS (CoE)'!C6</f>
        <v>Development</v>
      </c>
      <c r="C278" s="27">
        <f>'CBS (CoE)'!J6/100</f>
        <v>0.62213463174339745</v>
      </c>
      <c r="D278" s="27">
        <f>'CBS (CoE)'!L6/100</f>
        <v>0.27479032228795908</v>
      </c>
      <c r="E278" s="27">
        <f>'CBS (CoE)'!N6/100</f>
        <v>7.5031192204316519E-2</v>
      </c>
      <c r="F278" s="802">
        <f>'CBS (CoE)'!P6/100</f>
        <v>3.6882547507350531E-2</v>
      </c>
    </row>
    <row r="279" spans="2:6" ht="15" x14ac:dyDescent="0.25">
      <c r="B279" s="718" t="str">
        <f>'CBS (CoE)'!C14</f>
        <v>Infrastructure</v>
      </c>
      <c r="C279" s="27">
        <f>'CBS (CoE)'!J14/100</f>
        <v>0.13279300736122901</v>
      </c>
      <c r="D279" s="27">
        <f>'CBS (CoE)'!L14/100</f>
        <v>9.38276424649548E-2</v>
      </c>
      <c r="E279" s="27">
        <f>'CBS (CoE)'!N14/100</f>
        <v>3.8697627419686326E-2</v>
      </c>
      <c r="F279" s="802">
        <f>'CBS (CoE)'!P14/100</f>
        <v>4.256308723792409E-2</v>
      </c>
    </row>
    <row r="280" spans="2:6" ht="15" x14ac:dyDescent="0.25">
      <c r="B280" s="718" t="str">
        <f>'CBS (CoE)'!C20</f>
        <v>Mooring/Foundation</v>
      </c>
      <c r="C280" s="27">
        <f>'CBS (CoE)'!J20/100</f>
        <v>9.9822126093535496E-2</v>
      </c>
      <c r="D280" s="27">
        <f>'CBS (CoE)'!L20/100</f>
        <v>8.8946172320146968E-2</v>
      </c>
      <c r="E280" s="27">
        <f>'CBS (CoE)'!N20/100</f>
        <v>8.6486334253995698E-2</v>
      </c>
      <c r="F280" s="802">
        <f>'CBS (CoE)'!P20/100</f>
        <v>8.4026496187844385E-2</v>
      </c>
    </row>
    <row r="281" spans="2:6" ht="15" x14ac:dyDescent="0.25">
      <c r="B281" s="718" t="str">
        <f>'CBS (CoE)'!C26</f>
        <v>Device Structural Components</v>
      </c>
      <c r="C281" s="27">
        <f>'CBS (CoE)'!J26/100</f>
        <v>0.91825373657404352</v>
      </c>
      <c r="D281" s="27">
        <f>'CBS (CoE)'!L26/100</f>
        <v>0.64563608491300783</v>
      </c>
      <c r="E281" s="27">
        <f>'CBS (CoE)'!N26/100</f>
        <v>0.57193009936860295</v>
      </c>
      <c r="F281" s="802">
        <f>'CBS (CoE)'!P26/100</f>
        <v>0.55562973718089803</v>
      </c>
    </row>
    <row r="282" spans="2:6" ht="15" x14ac:dyDescent="0.25">
      <c r="B282" s="718" t="str">
        <f>'CBS (CoE)'!C31</f>
        <v>Power Take Off</v>
      </c>
      <c r="C282" s="27">
        <f>'CBS (CoE)'!J31/100</f>
        <v>0.19569288558961057</v>
      </c>
      <c r="D282" s="27">
        <f>'CBS (CoE)'!L31/100</f>
        <v>0.11653002870731333</v>
      </c>
      <c r="E282" s="27">
        <f>'CBS (CoE)'!N31/100</f>
        <v>8.1716442127287792E-2</v>
      </c>
      <c r="F282" s="802">
        <f>'CBS (CoE)'!P31/100</f>
        <v>7.0296104473722018E-2</v>
      </c>
    </row>
    <row r="283" spans="2:6" ht="15" x14ac:dyDescent="0.25">
      <c r="B283" s="718" t="str">
        <f>'CBS (CoE)'!C41</f>
        <v>Subsystem Integration &amp; Profit Margin</v>
      </c>
      <c r="C283" s="27">
        <f>'CBS (CoE)'!J41/100</f>
        <v>0.11139466221636543</v>
      </c>
      <c r="D283" s="27">
        <f>'CBS (CoE)'!L41/100</f>
        <v>7.6216611362032116E-2</v>
      </c>
      <c r="E283" s="27">
        <f>'CBS (CoE)'!N41/100</f>
        <v>6.5364654149589071E-2</v>
      </c>
      <c r="F283" s="802">
        <f>'CBS (CoE)'!P41/100</f>
        <v>6.2592584165462012E-2</v>
      </c>
    </row>
    <row r="284" spans="2:6" ht="15" x14ac:dyDescent="0.25">
      <c r="B284" s="718" t="str">
        <f>'CBS (CoE)'!C42</f>
        <v>Installation</v>
      </c>
      <c r="C284" s="27">
        <f>'CBS (CoE)'!J42/100</f>
        <v>0.70622002633814218</v>
      </c>
      <c r="D284" s="27">
        <f>'CBS (CoE)'!L42/100</f>
        <v>0.1085528828172973</v>
      </c>
      <c r="E284" s="27">
        <f>'CBS (CoE)'!N42/100</f>
        <v>5.1470678129388409E-2</v>
      </c>
      <c r="F284" s="802">
        <f>'CBS (CoE)'!P42/100</f>
        <v>4.5251925298076562E-2</v>
      </c>
    </row>
    <row r="285" spans="2:6" ht="15" x14ac:dyDescent="0.25">
      <c r="B285" s="718" t="str">
        <f>'CBS (CoE)'!C50</f>
        <v>Contingency</v>
      </c>
      <c r="C285" s="27">
        <f>'CBS (CoE)'!J50/100</f>
        <v>0.2786311075916324</v>
      </c>
      <c r="D285" s="27">
        <f>'CBS (CoE)'!L50/100</f>
        <v>0.14044997448727112</v>
      </c>
      <c r="E285" s="27">
        <f>'CBS (CoE)'!N50/100</f>
        <v>9.7069702765286703E-2</v>
      </c>
      <c r="F285" s="802">
        <f>'CBS (CoE)'!P50/100</f>
        <v>8.9724248205127755E-2</v>
      </c>
    </row>
    <row r="286" spans="2:6" ht="15" x14ac:dyDescent="0.25">
      <c r="B286" s="718" t="str">
        <f>'CBS (CoE)'!B54</f>
        <v>Annualized OPEX</v>
      </c>
      <c r="C286" s="27">
        <f>'CBS (CoE)'!J54/100</f>
        <v>1.7242799368611399</v>
      </c>
      <c r="D286" s="27">
        <f>'CBS (CoE)'!L54/100</f>
        <v>0.43499775380579209</v>
      </c>
      <c r="E286" s="27">
        <f>'CBS (CoE)'!N54/100</f>
        <v>0.13604553812471631</v>
      </c>
      <c r="F286" s="802">
        <f>'CBS (CoE)'!P54/100</f>
        <v>7.6235504072083224E-2</v>
      </c>
    </row>
    <row r="287" spans="2:6" ht="15" x14ac:dyDescent="0.25">
      <c r="B287" s="722" t="s">
        <v>81</v>
      </c>
      <c r="C287" s="810">
        <f>SUM(C278:C286)</f>
        <v>4.7892221203690957</v>
      </c>
      <c r="D287" s="810">
        <f>SUM(D278:D286)</f>
        <v>1.9799474731657745</v>
      </c>
      <c r="E287" s="810">
        <f>SUM(E278:E286)</f>
        <v>1.2038122685428698</v>
      </c>
      <c r="F287" s="811">
        <f>SUM(F278:F286)</f>
        <v>1.0632022343284886</v>
      </c>
    </row>
  </sheetData>
  <mergeCells count="2">
    <mergeCell ref="C83:E83"/>
    <mergeCell ref="F83:H8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R18"/>
  <sheetViews>
    <sheetView zoomScale="70" zoomScaleNormal="70" zoomScalePageLayoutView="70" workbookViewId="0">
      <selection activeCell="C26" sqref="C26"/>
    </sheetView>
  </sheetViews>
  <sheetFormatPr defaultColWidth="8.88671875" defaultRowHeight="14.4" x14ac:dyDescent="0.3"/>
  <cols>
    <col min="1" max="1" width="5" customWidth="1"/>
    <col min="2" max="2" width="5.44140625" customWidth="1"/>
    <col min="3" max="3" width="38.33203125" customWidth="1"/>
    <col min="4" max="4" width="14.44140625" bestFit="1" customWidth="1"/>
    <col min="5" max="5" width="14.44140625" customWidth="1"/>
    <col min="6" max="6" width="14.6640625" customWidth="1"/>
    <col min="7" max="7" width="12.44140625" customWidth="1"/>
    <col min="8" max="8" width="14.109375" customWidth="1"/>
  </cols>
  <sheetData>
    <row r="1" spans="1:18" ht="15" x14ac:dyDescent="0.25">
      <c r="A1" s="439" t="s">
        <v>375</v>
      </c>
    </row>
    <row r="3" spans="1:18" ht="15" x14ac:dyDescent="0.25">
      <c r="A3" s="42" t="s">
        <v>110</v>
      </c>
      <c r="D3" s="40" t="s">
        <v>66</v>
      </c>
      <c r="E3" s="46">
        <v>1</v>
      </c>
      <c r="F3" s="46">
        <v>10</v>
      </c>
      <c r="G3" s="46">
        <v>50</v>
      </c>
      <c r="H3" s="46">
        <v>100</v>
      </c>
      <c r="I3" s="40"/>
      <c r="J3" s="40"/>
      <c r="K3" s="40"/>
      <c r="L3" s="40"/>
      <c r="M3" s="40"/>
      <c r="N3" s="40"/>
      <c r="O3" s="40"/>
    </row>
    <row r="4" spans="1:18" ht="15" x14ac:dyDescent="0.25">
      <c r="A4" s="42"/>
      <c r="B4">
        <v>2.6</v>
      </c>
      <c r="C4" t="s">
        <v>57</v>
      </c>
      <c r="D4" s="40"/>
      <c r="E4" s="402">
        <f>$D$10*E3</f>
        <v>2000</v>
      </c>
      <c r="F4" s="402">
        <f t="shared" ref="F4:H4" si="0">$D$10*F3</f>
        <v>20000</v>
      </c>
      <c r="G4" s="402">
        <f t="shared" si="0"/>
        <v>100000</v>
      </c>
      <c r="H4" s="402">
        <f t="shared" si="0"/>
        <v>200000</v>
      </c>
      <c r="I4" s="40"/>
      <c r="J4" s="40"/>
      <c r="K4" s="40"/>
      <c r="L4" s="40"/>
      <c r="M4" s="40"/>
      <c r="N4" s="40"/>
      <c r="O4" s="40"/>
      <c r="P4" s="10"/>
      <c r="Q4" s="10"/>
      <c r="R4" s="10"/>
    </row>
    <row r="5" spans="1:18" ht="15" x14ac:dyDescent="0.25">
      <c r="D5" s="36"/>
      <c r="E5" s="40"/>
      <c r="F5" s="40"/>
      <c r="G5" s="40"/>
      <c r="H5" s="40"/>
      <c r="I5" s="40"/>
      <c r="J5" s="40"/>
      <c r="K5" s="40"/>
      <c r="L5" s="40"/>
      <c r="M5" s="40"/>
      <c r="N5" s="40"/>
      <c r="O5" s="40"/>
      <c r="P5" s="10"/>
      <c r="Q5" s="10"/>
      <c r="R5" s="10"/>
    </row>
    <row r="6" spans="1:18" ht="18" customHeight="1" x14ac:dyDescent="0.25">
      <c r="A6" s="439" t="s">
        <v>441</v>
      </c>
      <c r="D6" s="605" t="s">
        <v>442</v>
      </c>
      <c r="G6" s="40"/>
      <c r="H6" s="40"/>
      <c r="I6" s="40"/>
      <c r="J6" s="40"/>
      <c r="K6" s="40"/>
      <c r="L6" s="40"/>
      <c r="M6" s="40"/>
      <c r="N6" s="40"/>
      <c r="O6" s="40"/>
      <c r="P6" s="10"/>
      <c r="Q6" s="10"/>
      <c r="R6" s="10"/>
    </row>
    <row r="7" spans="1:18" ht="15" x14ac:dyDescent="0.25">
      <c r="A7" s="291"/>
      <c r="B7" t="s">
        <v>793</v>
      </c>
      <c r="D7" s="602">
        <v>1000</v>
      </c>
      <c r="G7" s="40"/>
      <c r="H7" s="40"/>
      <c r="I7" s="40"/>
      <c r="J7" s="40"/>
      <c r="K7" s="40"/>
      <c r="L7" s="40"/>
      <c r="M7" s="40"/>
      <c r="N7" s="40"/>
      <c r="O7" s="40"/>
      <c r="P7" s="10"/>
      <c r="Q7" s="10"/>
      <c r="R7" s="10"/>
    </row>
    <row r="8" spans="1:18" ht="15" x14ac:dyDescent="0.25">
      <c r="B8" t="s">
        <v>17</v>
      </c>
      <c r="C8" s="206"/>
      <c r="D8" s="207">
        <v>1000</v>
      </c>
    </row>
    <row r="9" spans="1:18" s="489" customFormat="1" ht="15" x14ac:dyDescent="0.25">
      <c r="C9" s="206"/>
      <c r="D9" s="207"/>
    </row>
    <row r="10" spans="1:18" s="489" customFormat="1" ht="15" x14ac:dyDescent="0.25">
      <c r="B10" s="298" t="s">
        <v>81</v>
      </c>
      <c r="C10" s="603"/>
      <c r="D10" s="604">
        <f>SUM(D7:D9)</f>
        <v>2000</v>
      </c>
    </row>
    <row r="11" spans="1:18" ht="15" x14ac:dyDescent="0.25">
      <c r="C11" s="206"/>
      <c r="D11" s="207"/>
    </row>
    <row r="12" spans="1:18" s="263" customFormat="1" ht="15" x14ac:dyDescent="0.25">
      <c r="A12" s="183" t="s">
        <v>149</v>
      </c>
    </row>
    <row r="13" spans="1:18" s="263" customFormat="1" ht="15" x14ac:dyDescent="0.25">
      <c r="A13" s="263">
        <v>2.6</v>
      </c>
      <c r="B13" s="263" t="s">
        <v>794</v>
      </c>
    </row>
    <row r="14" spans="1:18" s="263" customFormat="1" ht="15" x14ac:dyDescent="0.25">
      <c r="A14" s="263">
        <v>2.6</v>
      </c>
      <c r="B14" s="263" t="s">
        <v>795</v>
      </c>
    </row>
    <row r="15" spans="1:18" s="263" customFormat="1" ht="15" x14ac:dyDescent="0.25"/>
    <row r="16" spans="1:18" s="263" customFormat="1" ht="15" x14ac:dyDescent="0.25">
      <c r="A16" s="183" t="s">
        <v>213</v>
      </c>
    </row>
    <row r="17" spans="1:2" s="263" customFormat="1" ht="15" x14ac:dyDescent="0.25">
      <c r="A17" s="263">
        <v>2.6</v>
      </c>
      <c r="B17" s="263" t="s">
        <v>285</v>
      </c>
    </row>
    <row r="18" spans="1:2" s="263" customFormat="1" ht="15" x14ac:dyDescent="0.25"/>
  </sheetData>
  <dataValidations count="2">
    <dataValidation type="custom" showInputMessage="1" sqref="D6 C8:C11">
      <formula1>IF(#REF!="Defaults",#REF!,VALUE(#REF!))</formula1>
    </dataValidation>
    <dataValidation type="custom" showInputMessage="1" sqref="D6">
      <formula1>IF(#REF!="Defaults",#REF!,VALUE(#REF!))</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74"/>
  <sheetViews>
    <sheetView topLeftCell="A34" zoomScale="115" zoomScaleNormal="115" workbookViewId="0">
      <selection activeCell="G62" sqref="G62"/>
    </sheetView>
  </sheetViews>
  <sheetFormatPr defaultColWidth="9.109375" defaultRowHeight="14.4" x14ac:dyDescent="0.3"/>
  <cols>
    <col min="1" max="1" width="45" style="434" customWidth="1"/>
    <col min="2" max="2" width="25.6640625" style="434" bestFit="1" customWidth="1"/>
    <col min="3" max="3" width="11.44140625" style="434" bestFit="1" customWidth="1"/>
    <col min="4" max="4" width="9" style="434" bestFit="1" customWidth="1"/>
    <col min="5" max="5" width="16.44140625" style="434" bestFit="1" customWidth="1"/>
    <col min="6" max="6" width="16.88671875" style="434" bestFit="1" customWidth="1"/>
    <col min="7" max="7" width="17.33203125" style="434" bestFit="1" customWidth="1"/>
    <col min="8" max="11" width="9.109375" style="434"/>
    <col min="12" max="12" width="13.33203125" style="434" customWidth="1"/>
    <col min="13" max="13" width="15.6640625" style="434" bestFit="1" customWidth="1"/>
    <col min="14" max="14" width="9.109375" style="434"/>
    <col min="15" max="15" width="17" style="434" bestFit="1" customWidth="1"/>
    <col min="16" max="16" width="9.109375" style="434"/>
    <col min="17" max="17" width="12.44140625" style="434" bestFit="1" customWidth="1"/>
    <col min="18" max="18" width="20.33203125" style="434" customWidth="1"/>
    <col min="19" max="19" width="9.109375" style="434"/>
    <col min="20" max="20" width="15.33203125" style="434" bestFit="1" customWidth="1"/>
    <col min="21" max="16384" width="9.109375" style="434"/>
  </cols>
  <sheetData>
    <row r="2" spans="1:21" ht="23.25" x14ac:dyDescent="0.35">
      <c r="A2" s="743" t="s">
        <v>590</v>
      </c>
      <c r="B2" s="743"/>
      <c r="C2" s="743"/>
      <c r="D2" s="743"/>
      <c r="E2" s="743"/>
      <c r="F2" s="743"/>
      <c r="G2" s="743"/>
    </row>
    <row r="4" spans="1:21" s="753" customFormat="1" ht="15" x14ac:dyDescent="0.25">
      <c r="A4" s="753" t="s">
        <v>591</v>
      </c>
      <c r="B4" s="753" t="s">
        <v>640</v>
      </c>
      <c r="C4" s="753" t="s">
        <v>635</v>
      </c>
      <c r="D4" s="753" t="s">
        <v>638</v>
      </c>
      <c r="E4" s="753" t="s">
        <v>637</v>
      </c>
      <c r="F4" s="753" t="s">
        <v>639</v>
      </c>
      <c r="G4" s="753" t="s">
        <v>636</v>
      </c>
      <c r="H4" s="745" t="s">
        <v>592</v>
      </c>
      <c r="I4" s="745" t="s">
        <v>593</v>
      </c>
      <c r="J4" s="745" t="s">
        <v>594</v>
      </c>
      <c r="K4" s="745" t="s">
        <v>595</v>
      </c>
      <c r="L4" s="745" t="s">
        <v>596</v>
      </c>
      <c r="M4" s="745" t="s">
        <v>597</v>
      </c>
      <c r="N4" s="745" t="s">
        <v>598</v>
      </c>
      <c r="O4" s="745" t="s">
        <v>599</v>
      </c>
      <c r="P4" s="745" t="s">
        <v>600</v>
      </c>
      <c r="Q4" s="745" t="s">
        <v>601</v>
      </c>
      <c r="R4" s="745" t="s">
        <v>602</v>
      </c>
      <c r="S4" s="745" t="s">
        <v>603</v>
      </c>
      <c r="T4" s="745" t="s">
        <v>604</v>
      </c>
      <c r="U4" s="753" t="s">
        <v>605</v>
      </c>
    </row>
    <row r="5" spans="1:21" ht="15" x14ac:dyDescent="0.25">
      <c r="C5" s="434" t="s">
        <v>643</v>
      </c>
      <c r="D5" s="434" t="s">
        <v>507</v>
      </c>
      <c r="E5" s="434" t="s">
        <v>643</v>
      </c>
      <c r="F5" s="434" t="s">
        <v>644</v>
      </c>
      <c r="G5" s="434" t="s">
        <v>572</v>
      </c>
      <c r="H5" s="744" t="s">
        <v>606</v>
      </c>
      <c r="I5" s="744" t="s">
        <v>607</v>
      </c>
      <c r="J5" s="744" t="s">
        <v>608</v>
      </c>
      <c r="K5" s="744" t="s">
        <v>609</v>
      </c>
      <c r="L5" s="744" t="s">
        <v>606</v>
      </c>
      <c r="M5" s="744" t="s">
        <v>610</v>
      </c>
      <c r="N5" s="744" t="s">
        <v>611</v>
      </c>
      <c r="O5" s="745" t="s">
        <v>612</v>
      </c>
      <c r="P5" s="745"/>
      <c r="Q5" s="745" t="s">
        <v>260</v>
      </c>
      <c r="R5" s="745"/>
      <c r="S5" s="745" t="s">
        <v>613</v>
      </c>
      <c r="T5" s="745"/>
    </row>
    <row r="6" spans="1:21" ht="15" x14ac:dyDescent="0.25">
      <c r="A6" s="749" t="s">
        <v>614</v>
      </c>
      <c r="B6" s="749" t="s">
        <v>642</v>
      </c>
      <c r="C6" s="757">
        <f>O6/2.204</f>
        <v>256.77551968859171</v>
      </c>
      <c r="D6" s="434">
        <f t="shared" ref="D6:D25" si="0">P6</f>
        <v>13</v>
      </c>
      <c r="E6" s="757">
        <f t="shared" ref="E6:E25" si="1">C6*D6</f>
        <v>3338.0817559516922</v>
      </c>
      <c r="F6" s="747">
        <f>S6*2.204</f>
        <v>30.856000000000002</v>
      </c>
      <c r="G6" s="747">
        <f t="shared" ref="G6:G25" si="2">F6*E6</f>
        <v>102999.85066164543</v>
      </c>
      <c r="H6" s="744">
        <v>137.9</v>
      </c>
      <c r="I6" s="744">
        <v>125</v>
      </c>
      <c r="J6" s="744">
        <v>2663.5286287499998</v>
      </c>
      <c r="K6" s="744">
        <v>11533548.409408318</v>
      </c>
      <c r="L6" s="744">
        <v>0.75</v>
      </c>
      <c r="M6" s="744"/>
      <c r="N6" s="744">
        <v>0.2833</v>
      </c>
      <c r="O6" s="750">
        <v>565.93324539365619</v>
      </c>
      <c r="P6" s="749">
        <v>13</v>
      </c>
      <c r="Q6" s="750">
        <v>7357.1321901175306</v>
      </c>
      <c r="R6" s="749"/>
      <c r="S6" s="751">
        <v>14</v>
      </c>
      <c r="T6" s="752">
        <v>102999.85066164543</v>
      </c>
      <c r="U6" s="749" t="s">
        <v>615</v>
      </c>
    </row>
    <row r="7" spans="1:21" ht="15" x14ac:dyDescent="0.25">
      <c r="A7" s="434" t="s">
        <v>616</v>
      </c>
      <c r="B7" s="749" t="s">
        <v>642</v>
      </c>
      <c r="C7" s="757">
        <f t="shared" ref="C7:C25" si="3">O7/2.204</f>
        <v>10823.366894122933</v>
      </c>
      <c r="D7" s="434">
        <f t="shared" si="0"/>
        <v>1</v>
      </c>
      <c r="E7" s="757">
        <f t="shared" si="1"/>
        <v>10823.366894122933</v>
      </c>
      <c r="F7" s="747">
        <f t="shared" ref="F7:F25" si="4">S7*2.204</f>
        <v>30.856000000000002</v>
      </c>
      <c r="G7" s="747">
        <f t="shared" si="2"/>
        <v>333965.80888505722</v>
      </c>
      <c r="H7" s="744">
        <v>125</v>
      </c>
      <c r="I7" s="744">
        <v>123.5</v>
      </c>
      <c r="J7" s="744">
        <v>292.74853125000004</v>
      </c>
      <c r="K7" s="744">
        <v>1129908.698317383</v>
      </c>
      <c r="L7" s="744">
        <v>287.62900000000002</v>
      </c>
      <c r="M7" s="744"/>
      <c r="N7" s="744">
        <v>0.2833</v>
      </c>
      <c r="O7" s="746">
        <v>23854.700634646946</v>
      </c>
      <c r="P7" s="434">
        <v>1</v>
      </c>
      <c r="Q7" s="746">
        <v>23854.700634646946</v>
      </c>
      <c r="S7" s="747">
        <v>14</v>
      </c>
      <c r="T7" s="748">
        <v>333965.80888505722</v>
      </c>
      <c r="U7" s="434" t="s">
        <v>615</v>
      </c>
    </row>
    <row r="8" spans="1:21" ht="15" x14ac:dyDescent="0.25">
      <c r="A8" s="434" t="s">
        <v>617</v>
      </c>
      <c r="B8" s="749" t="s">
        <v>642</v>
      </c>
      <c r="C8" s="757">
        <f t="shared" si="3"/>
        <v>1919.9065804529259</v>
      </c>
      <c r="D8" s="434">
        <f t="shared" si="0"/>
        <v>2</v>
      </c>
      <c r="E8" s="757">
        <f t="shared" si="1"/>
        <v>3839.8131609058519</v>
      </c>
      <c r="F8" s="747">
        <f t="shared" si="4"/>
        <v>18.9544</v>
      </c>
      <c r="G8" s="747">
        <f t="shared" si="2"/>
        <v>72781.354577073871</v>
      </c>
      <c r="H8" s="744">
        <v>56.3</v>
      </c>
      <c r="I8" s="744">
        <v>0</v>
      </c>
      <c r="J8" s="744">
        <v>2489.3952837499996</v>
      </c>
      <c r="K8" s="744">
        <v>986326.41711869196</v>
      </c>
      <c r="L8" s="744">
        <v>6</v>
      </c>
      <c r="N8" s="744">
        <v>0.2833</v>
      </c>
      <c r="O8" s="746">
        <v>4231.474103318249</v>
      </c>
      <c r="P8" s="434">
        <v>2</v>
      </c>
      <c r="Q8" s="746">
        <v>8462.9482066364981</v>
      </c>
      <c r="R8" s="434" t="s">
        <v>618</v>
      </c>
      <c r="S8" s="747">
        <v>8.6</v>
      </c>
      <c r="T8" s="748">
        <v>72781.354577073886</v>
      </c>
    </row>
    <row r="9" spans="1:21" ht="15" x14ac:dyDescent="0.25">
      <c r="A9" s="434" t="s">
        <v>619</v>
      </c>
      <c r="B9" s="749" t="s">
        <v>642</v>
      </c>
      <c r="C9" s="757">
        <f t="shared" si="3"/>
        <v>2129.3388425499643</v>
      </c>
      <c r="D9" s="434">
        <f t="shared" si="0"/>
        <v>2</v>
      </c>
      <c r="E9" s="757">
        <f t="shared" si="1"/>
        <v>4258.6776850999286</v>
      </c>
      <c r="F9" s="747">
        <f t="shared" si="4"/>
        <v>18.9544</v>
      </c>
      <c r="G9" s="747">
        <f t="shared" si="2"/>
        <v>80720.680314458092</v>
      </c>
      <c r="H9" s="744">
        <v>56.3</v>
      </c>
      <c r="I9" s="744">
        <v>52.3</v>
      </c>
      <c r="J9" s="744">
        <v>341.16690000000011</v>
      </c>
      <c r="K9" s="744">
        <v>251822.96514524991</v>
      </c>
      <c r="L9" s="744">
        <v>48.555999999999997</v>
      </c>
      <c r="M9" s="744"/>
      <c r="N9" s="744">
        <v>0.2833</v>
      </c>
      <c r="O9" s="746">
        <v>4693.0628089801221</v>
      </c>
      <c r="P9" s="434">
        <v>2</v>
      </c>
      <c r="Q9" s="746">
        <v>9386.1256179602442</v>
      </c>
      <c r="R9" s="434" t="s">
        <v>618</v>
      </c>
      <c r="S9" s="747">
        <v>8.6</v>
      </c>
      <c r="T9" s="748">
        <v>80720.680314458092</v>
      </c>
    </row>
    <row r="10" spans="1:21" ht="15" x14ac:dyDescent="0.25">
      <c r="A10" s="434" t="s">
        <v>620</v>
      </c>
      <c r="B10" s="749" t="s">
        <v>642</v>
      </c>
      <c r="C10" s="757">
        <f t="shared" si="3"/>
        <v>260.98216172653406</v>
      </c>
      <c r="D10" s="434">
        <f t="shared" si="0"/>
        <v>2</v>
      </c>
      <c r="E10" s="757">
        <f t="shared" si="1"/>
        <v>521.96432345306812</v>
      </c>
      <c r="F10" s="747">
        <f t="shared" si="4"/>
        <v>18.9544</v>
      </c>
      <c r="G10" s="747">
        <f t="shared" si="2"/>
        <v>9893.5205724588341</v>
      </c>
      <c r="H10" s="744">
        <v>52.3</v>
      </c>
      <c r="I10" s="744">
        <v>12.25</v>
      </c>
      <c r="J10" s="744">
        <v>2030.3730478124996</v>
      </c>
      <c r="K10" s="744">
        <v>732292.74367980182</v>
      </c>
      <c r="L10" s="744">
        <v>1</v>
      </c>
      <c r="M10" s="744"/>
      <c r="N10" s="744">
        <v>0.2833</v>
      </c>
      <c r="O10" s="746">
        <v>575.20468444528115</v>
      </c>
      <c r="P10" s="434">
        <v>2</v>
      </c>
      <c r="Q10" s="746">
        <v>1150.4093688905623</v>
      </c>
      <c r="R10" s="434" t="s">
        <v>618</v>
      </c>
      <c r="S10" s="747">
        <v>8.6</v>
      </c>
      <c r="T10" s="748">
        <v>9893.5205724588359</v>
      </c>
    </row>
    <row r="11" spans="1:21" ht="15" x14ac:dyDescent="0.25">
      <c r="A11" s="754" t="s">
        <v>584</v>
      </c>
      <c r="B11" s="749" t="s">
        <v>642</v>
      </c>
      <c r="C11" s="757">
        <f t="shared" si="3"/>
        <v>1618.0291196161279</v>
      </c>
      <c r="D11" s="434">
        <f t="shared" si="0"/>
        <v>2</v>
      </c>
      <c r="E11" s="757">
        <f t="shared" si="1"/>
        <v>3236.0582392322558</v>
      </c>
      <c r="F11" s="747">
        <f t="shared" si="4"/>
        <v>18.9544</v>
      </c>
      <c r="G11" s="747">
        <f t="shared" si="2"/>
        <v>61337.542289703866</v>
      </c>
      <c r="H11" s="744">
        <v>43.74</v>
      </c>
      <c r="I11" s="744">
        <v>5.25</v>
      </c>
      <c r="J11" s="744">
        <v>1480.9228129125001</v>
      </c>
      <c r="K11" s="744">
        <v>359262.63715652702</v>
      </c>
      <c r="L11" s="744">
        <v>8.5</v>
      </c>
      <c r="M11" s="744"/>
      <c r="N11" s="744">
        <v>0.2833</v>
      </c>
      <c r="O11" s="746">
        <v>3566.1361796339461</v>
      </c>
      <c r="P11" s="434">
        <v>2</v>
      </c>
      <c r="Q11" s="746">
        <v>7132.2723592678922</v>
      </c>
      <c r="R11" s="434" t="s">
        <v>618</v>
      </c>
      <c r="S11" s="747">
        <v>8.6</v>
      </c>
      <c r="T11" s="748">
        <v>61337.542289703873</v>
      </c>
    </row>
    <row r="12" spans="1:21" ht="15" x14ac:dyDescent="0.25">
      <c r="A12" s="754" t="s">
        <v>621</v>
      </c>
      <c r="B12" s="749" t="s">
        <v>642</v>
      </c>
      <c r="C12" s="757">
        <f t="shared" si="3"/>
        <v>2437.3689792196005</v>
      </c>
      <c r="D12" s="434">
        <f t="shared" si="0"/>
        <v>1</v>
      </c>
      <c r="E12" s="757">
        <f t="shared" si="1"/>
        <v>2437.3689792196005</v>
      </c>
      <c r="F12" s="747">
        <f t="shared" si="4"/>
        <v>18.9544</v>
      </c>
      <c r="G12" s="747">
        <f t="shared" si="2"/>
        <v>46198.866579719994</v>
      </c>
      <c r="H12" s="744">
        <v>56.3</v>
      </c>
      <c r="I12" s="744">
        <v>44.3</v>
      </c>
      <c r="J12" s="744">
        <v>948.10469999999987</v>
      </c>
      <c r="K12" s="744">
        <v>608230.49740574975</v>
      </c>
      <c r="L12" s="744">
        <v>20</v>
      </c>
      <c r="M12" s="744"/>
      <c r="N12" s="744">
        <v>0.2833</v>
      </c>
      <c r="O12" s="746">
        <v>5371.9612301999996</v>
      </c>
      <c r="P12" s="434">
        <v>1</v>
      </c>
      <c r="Q12" s="746">
        <v>5371.9612301999996</v>
      </c>
      <c r="R12" s="434" t="s">
        <v>618</v>
      </c>
      <c r="S12" s="747">
        <v>8.6</v>
      </c>
      <c r="T12" s="748">
        <v>46198.866579719994</v>
      </c>
    </row>
    <row r="13" spans="1:21" ht="15" x14ac:dyDescent="0.25">
      <c r="A13" s="754" t="s">
        <v>622</v>
      </c>
      <c r="B13" s="749" t="s">
        <v>642</v>
      </c>
      <c r="C13" s="757">
        <f t="shared" si="3"/>
        <v>520.74735513611608</v>
      </c>
      <c r="D13" s="434">
        <f t="shared" si="0"/>
        <v>1</v>
      </c>
      <c r="E13" s="757">
        <f t="shared" si="1"/>
        <v>520.74735513611608</v>
      </c>
      <c r="F13" s="747">
        <f t="shared" si="4"/>
        <v>18.9544</v>
      </c>
      <c r="G13" s="747">
        <f t="shared" si="2"/>
        <v>9870.4536681919981</v>
      </c>
      <c r="H13" s="744">
        <v>44.3</v>
      </c>
      <c r="I13" s="744">
        <v>36.299999999999997</v>
      </c>
      <c r="J13" s="744">
        <v>506.40980000000002</v>
      </c>
      <c r="K13" s="744">
        <v>207639.4122205</v>
      </c>
      <c r="L13" s="744">
        <v>8</v>
      </c>
      <c r="M13" s="744"/>
      <c r="N13" s="744">
        <v>0.2833</v>
      </c>
      <c r="O13" s="746">
        <v>1147.72717072</v>
      </c>
      <c r="P13" s="434">
        <v>1</v>
      </c>
      <c r="Q13" s="746">
        <v>1147.72717072</v>
      </c>
      <c r="R13" s="434" t="s">
        <v>618</v>
      </c>
      <c r="S13" s="747">
        <v>8.6</v>
      </c>
      <c r="T13" s="748">
        <v>9870.4536681919999</v>
      </c>
    </row>
    <row r="14" spans="1:21" ht="15" x14ac:dyDescent="0.25">
      <c r="A14" s="434" t="s">
        <v>623</v>
      </c>
      <c r="B14" s="749" t="s">
        <v>642</v>
      </c>
      <c r="C14" s="757">
        <f t="shared" si="3"/>
        <v>7322.4051149858151</v>
      </c>
      <c r="D14" s="434">
        <f t="shared" si="0"/>
        <v>1</v>
      </c>
      <c r="E14" s="757">
        <f t="shared" si="1"/>
        <v>7322.4051149858151</v>
      </c>
      <c r="F14" s="747">
        <f t="shared" si="4"/>
        <v>18.9544</v>
      </c>
      <c r="G14" s="747">
        <f t="shared" si="2"/>
        <v>138791.79551148714</v>
      </c>
      <c r="H14" s="744">
        <v>121.553</v>
      </c>
      <c r="I14" s="744">
        <v>56.3</v>
      </c>
      <c r="J14" s="744">
        <v>9114.6238607433752</v>
      </c>
      <c r="K14" s="744">
        <v>20445037.629637435</v>
      </c>
      <c r="L14" s="744">
        <v>6.25</v>
      </c>
      <c r="M14" s="744"/>
      <c r="N14" s="744">
        <v>0.2833</v>
      </c>
      <c r="O14" s="746">
        <v>16138.580873428738</v>
      </c>
      <c r="P14" s="434">
        <v>1</v>
      </c>
      <c r="Q14" s="746">
        <v>16138.580873428738</v>
      </c>
      <c r="R14" s="434" t="s">
        <v>618</v>
      </c>
      <c r="S14" s="747">
        <v>8.6</v>
      </c>
      <c r="T14" s="748">
        <v>138791.79551148714</v>
      </c>
    </row>
    <row r="15" spans="1:21" ht="15" x14ac:dyDescent="0.25">
      <c r="A15" s="434" t="s">
        <v>585</v>
      </c>
      <c r="B15" s="749" t="s">
        <v>642</v>
      </c>
      <c r="C15" s="757">
        <f t="shared" si="3"/>
        <v>137.02278983214291</v>
      </c>
      <c r="D15" s="434">
        <f t="shared" si="0"/>
        <v>1</v>
      </c>
      <c r="E15" s="757">
        <f t="shared" si="1"/>
        <v>137.02278983214291</v>
      </c>
      <c r="F15" s="747">
        <f t="shared" si="4"/>
        <v>59.508000000000003</v>
      </c>
      <c r="G15" s="747">
        <f t="shared" si="2"/>
        <v>8153.9521773311608</v>
      </c>
      <c r="H15" s="744">
        <v>5.25</v>
      </c>
      <c r="I15" s="744">
        <v>0</v>
      </c>
      <c r="J15" s="744">
        <v>21.646898437500003</v>
      </c>
      <c r="K15" s="744">
        <v>74.580329772949227</v>
      </c>
      <c r="L15" s="744">
        <v>49.244999999999997</v>
      </c>
      <c r="M15" s="744"/>
      <c r="N15" s="744">
        <v>0.2833</v>
      </c>
      <c r="O15" s="746">
        <v>301.99822879004296</v>
      </c>
      <c r="P15" s="434">
        <v>1</v>
      </c>
      <c r="Q15" s="746">
        <v>301.99822879004296</v>
      </c>
      <c r="S15" s="747">
        <v>27</v>
      </c>
      <c r="T15" s="748">
        <v>8153.9521773311599</v>
      </c>
      <c r="U15" s="434" t="s">
        <v>615</v>
      </c>
    </row>
    <row r="16" spans="1:21" ht="15" x14ac:dyDescent="0.25">
      <c r="A16" s="434" t="s">
        <v>586</v>
      </c>
      <c r="B16" s="749" t="s">
        <v>642</v>
      </c>
      <c r="C16" s="757">
        <f t="shared" si="3"/>
        <v>66.642571703806155</v>
      </c>
      <c r="D16" s="434">
        <f t="shared" si="0"/>
        <v>1</v>
      </c>
      <c r="E16" s="757">
        <f t="shared" si="1"/>
        <v>66.642571703806155</v>
      </c>
      <c r="F16" s="747">
        <f t="shared" si="4"/>
        <v>59.508000000000003</v>
      </c>
      <c r="G16" s="747">
        <f t="shared" si="2"/>
        <v>3965.766156950097</v>
      </c>
      <c r="H16" s="744">
        <v>13.878</v>
      </c>
      <c r="I16" s="744">
        <v>5.25</v>
      </c>
      <c r="J16" s="744">
        <v>129.615450084</v>
      </c>
      <c r="K16" s="744">
        <v>3567.0396097845451</v>
      </c>
      <c r="L16" s="744">
        <v>4</v>
      </c>
      <c r="M16" s="744"/>
      <c r="N16" s="744">
        <v>0.2833</v>
      </c>
      <c r="O16" s="746">
        <v>146.88022803518879</v>
      </c>
      <c r="P16" s="434">
        <v>1</v>
      </c>
      <c r="Q16" s="746">
        <v>146.88022803518879</v>
      </c>
      <c r="S16" s="747">
        <v>27</v>
      </c>
      <c r="T16" s="748">
        <v>3965.7661569500974</v>
      </c>
      <c r="U16" s="434" t="s">
        <v>615</v>
      </c>
    </row>
    <row r="17" spans="1:23" ht="15" x14ac:dyDescent="0.25">
      <c r="A17" s="434" t="s">
        <v>587</v>
      </c>
      <c r="B17" s="749" t="s">
        <v>642</v>
      </c>
      <c r="C17" s="757">
        <f t="shared" si="3"/>
        <v>206.34805754800931</v>
      </c>
      <c r="D17" s="434">
        <f t="shared" si="0"/>
        <v>1</v>
      </c>
      <c r="E17" s="757">
        <f t="shared" si="1"/>
        <v>206.34805754800931</v>
      </c>
      <c r="F17" s="747">
        <f t="shared" si="4"/>
        <v>59.508000000000003</v>
      </c>
      <c r="G17" s="747">
        <f t="shared" si="2"/>
        <v>12279.360208566939</v>
      </c>
      <c r="H17" s="744">
        <v>5.25</v>
      </c>
      <c r="I17" s="744">
        <v>0</v>
      </c>
      <c r="J17" s="744">
        <v>21.646898437500003</v>
      </c>
      <c r="K17" s="744">
        <v>74.580329772949227</v>
      </c>
      <c r="L17" s="744">
        <v>74.16</v>
      </c>
      <c r="M17" s="744"/>
      <c r="N17" s="744">
        <v>0.2833</v>
      </c>
      <c r="O17" s="746">
        <v>454.79111883581254</v>
      </c>
      <c r="P17" s="434">
        <v>1</v>
      </c>
      <c r="Q17" s="746">
        <v>454.79111883581254</v>
      </c>
      <c r="S17" s="747">
        <v>27</v>
      </c>
      <c r="T17" s="748">
        <v>12279.360208566939</v>
      </c>
      <c r="U17" s="434" t="s">
        <v>615</v>
      </c>
    </row>
    <row r="18" spans="1:23" ht="15" x14ac:dyDescent="0.25">
      <c r="A18" s="434" t="s">
        <v>588</v>
      </c>
      <c r="B18" s="749" t="s">
        <v>642</v>
      </c>
      <c r="C18" s="757">
        <f t="shared" si="3"/>
        <v>66.642571703806155</v>
      </c>
      <c r="D18" s="434">
        <f t="shared" si="0"/>
        <v>1</v>
      </c>
      <c r="E18" s="757">
        <f t="shared" si="1"/>
        <v>66.642571703806155</v>
      </c>
      <c r="F18" s="747">
        <f t="shared" si="4"/>
        <v>59.508000000000003</v>
      </c>
      <c r="G18" s="747">
        <f t="shared" si="2"/>
        <v>3965.766156950097</v>
      </c>
      <c r="H18" s="744">
        <v>13.878</v>
      </c>
      <c r="I18" s="744">
        <v>5.25</v>
      </c>
      <c r="J18" s="744">
        <v>129.615450084</v>
      </c>
      <c r="K18" s="744">
        <v>3567.0396097845451</v>
      </c>
      <c r="L18" s="744">
        <v>4</v>
      </c>
      <c r="M18" s="744"/>
      <c r="N18" s="744">
        <v>0.2833</v>
      </c>
      <c r="O18" s="746">
        <v>146.88022803518879</v>
      </c>
      <c r="P18" s="434">
        <v>1</v>
      </c>
      <c r="Q18" s="746">
        <v>146.88022803518879</v>
      </c>
      <c r="S18" s="747">
        <v>27</v>
      </c>
      <c r="T18" s="748">
        <v>3965.7661569500974</v>
      </c>
      <c r="U18" s="434" t="s">
        <v>615</v>
      </c>
    </row>
    <row r="19" spans="1:23" ht="15" x14ac:dyDescent="0.25">
      <c r="A19" s="434" t="s">
        <v>624</v>
      </c>
      <c r="B19" s="749" t="s">
        <v>642</v>
      </c>
      <c r="C19" s="757">
        <f t="shared" si="3"/>
        <v>298.81594509981846</v>
      </c>
      <c r="D19" s="434">
        <f t="shared" si="0"/>
        <v>2</v>
      </c>
      <c r="E19" s="757">
        <f t="shared" si="1"/>
        <v>597.63189019963693</v>
      </c>
      <c r="F19" s="747">
        <f t="shared" si="4"/>
        <v>59.508000000000003</v>
      </c>
      <c r="G19" s="747">
        <f t="shared" si="2"/>
        <v>35563.878521999999</v>
      </c>
      <c r="H19" s="744">
        <v>11.25</v>
      </c>
      <c r="I19" s="744">
        <v>7.25</v>
      </c>
      <c r="J19" s="744">
        <v>58.117750000000001</v>
      </c>
      <c r="K19" s="744">
        <v>1301.2927460937501</v>
      </c>
      <c r="L19" s="744">
        <v>40</v>
      </c>
      <c r="M19" s="744"/>
      <c r="N19" s="744">
        <v>0.2833</v>
      </c>
      <c r="O19" s="746">
        <v>658.59034299999996</v>
      </c>
      <c r="P19" s="434">
        <v>2</v>
      </c>
      <c r="Q19" s="746">
        <v>1317.1806859999999</v>
      </c>
      <c r="R19" s="434" t="s">
        <v>625</v>
      </c>
      <c r="S19" s="747">
        <v>27</v>
      </c>
      <c r="T19" s="748">
        <v>35563.878521999999</v>
      </c>
      <c r="U19" s="434" t="s">
        <v>615</v>
      </c>
    </row>
    <row r="20" spans="1:23" ht="15" x14ac:dyDescent="0.25">
      <c r="A20" s="434" t="s">
        <v>626</v>
      </c>
      <c r="B20" s="749" t="s">
        <v>642</v>
      </c>
      <c r="C20" s="757">
        <f t="shared" si="3"/>
        <v>297.07477689214835</v>
      </c>
      <c r="D20" s="434">
        <f t="shared" si="0"/>
        <v>2</v>
      </c>
      <c r="E20" s="757">
        <f t="shared" si="1"/>
        <v>594.1495537842967</v>
      </c>
      <c r="F20" s="747">
        <f t="shared" si="4"/>
        <v>59.508000000000003</v>
      </c>
      <c r="G20" s="747">
        <f t="shared" si="2"/>
        <v>35356.651646595928</v>
      </c>
      <c r="H20" s="744">
        <v>22.878</v>
      </c>
      <c r="I20" s="744">
        <v>7.25</v>
      </c>
      <c r="J20" s="744">
        <v>369.78626658399997</v>
      </c>
      <c r="K20" s="744">
        <v>26623.011128872491</v>
      </c>
      <c r="L20" s="744">
        <v>6.25</v>
      </c>
      <c r="M20" s="744"/>
      <c r="N20" s="744">
        <v>0.2833</v>
      </c>
      <c r="O20" s="746">
        <v>654.75280827029496</v>
      </c>
      <c r="P20" s="434">
        <v>2</v>
      </c>
      <c r="Q20" s="746">
        <v>1309.5056165405899</v>
      </c>
      <c r="S20" s="747">
        <v>27</v>
      </c>
      <c r="T20" s="748">
        <v>35356.651646595928</v>
      </c>
      <c r="U20" s="434" t="s">
        <v>615</v>
      </c>
    </row>
    <row r="21" spans="1:23" ht="15" x14ac:dyDescent="0.25">
      <c r="A21" s="434" t="s">
        <v>589</v>
      </c>
      <c r="B21" s="749" t="s">
        <v>642</v>
      </c>
      <c r="C21" s="757">
        <f t="shared" si="3"/>
        <v>1143.4831215970962</v>
      </c>
      <c r="D21" s="434">
        <f t="shared" si="0"/>
        <v>2</v>
      </c>
      <c r="E21" s="757">
        <f t="shared" si="1"/>
        <v>2286.9662431941924</v>
      </c>
      <c r="F21" s="747">
        <f t="shared" si="4"/>
        <v>35.264000000000003</v>
      </c>
      <c r="G21" s="747">
        <f t="shared" si="2"/>
        <v>80647.577600000004</v>
      </c>
      <c r="H21" s="744"/>
      <c r="I21" s="744"/>
      <c r="J21" s="744">
        <v>0</v>
      </c>
      <c r="K21" s="744">
        <v>0</v>
      </c>
      <c r="L21" s="744"/>
      <c r="M21" s="744">
        <v>8896</v>
      </c>
      <c r="N21" s="744">
        <v>0.2833</v>
      </c>
      <c r="O21" s="746">
        <v>2520.2368000000001</v>
      </c>
      <c r="P21" s="434">
        <v>2</v>
      </c>
      <c r="Q21" s="746">
        <v>5040.4736000000003</v>
      </c>
      <c r="S21" s="747">
        <v>16</v>
      </c>
      <c r="T21" s="748">
        <v>80647.577600000004</v>
      </c>
      <c r="U21" s="434" t="s">
        <v>615</v>
      </c>
    </row>
    <row r="22" spans="1:23" ht="15" x14ac:dyDescent="0.25">
      <c r="A22" s="434" t="s">
        <v>627</v>
      </c>
      <c r="B22" s="749" t="s">
        <v>642</v>
      </c>
      <c r="C22" s="757">
        <f t="shared" si="3"/>
        <v>3593.1685415548741</v>
      </c>
      <c r="D22" s="434">
        <f t="shared" si="0"/>
        <v>1</v>
      </c>
      <c r="E22" s="757">
        <f t="shared" si="1"/>
        <v>3593.1685415548741</v>
      </c>
      <c r="F22" s="747">
        <f t="shared" si="4"/>
        <v>35.264000000000003</v>
      </c>
      <c r="G22" s="747">
        <f t="shared" si="2"/>
        <v>126709.49544939109</v>
      </c>
      <c r="H22" s="744">
        <v>55.74</v>
      </c>
      <c r="I22" s="744">
        <v>51.74</v>
      </c>
      <c r="J22" s="744">
        <v>337.6484200000001</v>
      </c>
      <c r="K22" s="744">
        <v>244118.76094989799</v>
      </c>
      <c r="L22" s="744">
        <v>82.79</v>
      </c>
      <c r="M22" s="744"/>
      <c r="N22" s="744">
        <v>0.2833</v>
      </c>
      <c r="O22" s="746">
        <v>7919.3434655869432</v>
      </c>
      <c r="P22" s="434">
        <v>1</v>
      </c>
      <c r="Q22" s="746">
        <v>7919.3434655869432</v>
      </c>
      <c r="S22" s="747">
        <v>16</v>
      </c>
      <c r="T22" s="748">
        <v>126709.49544939109</v>
      </c>
      <c r="U22" s="434" t="s">
        <v>615</v>
      </c>
    </row>
    <row r="23" spans="1:23" ht="15" x14ac:dyDescent="0.25">
      <c r="A23" s="434" t="s">
        <v>628</v>
      </c>
      <c r="B23" s="749" t="s">
        <v>642</v>
      </c>
      <c r="C23" s="757">
        <f t="shared" si="3"/>
        <v>256.852212416123</v>
      </c>
      <c r="D23" s="434">
        <f t="shared" si="0"/>
        <v>1</v>
      </c>
      <c r="E23" s="757">
        <f t="shared" si="1"/>
        <v>256.852212416123</v>
      </c>
      <c r="F23" s="747">
        <f t="shared" si="4"/>
        <v>35.264000000000003</v>
      </c>
      <c r="G23" s="747">
        <f t="shared" si="2"/>
        <v>9057.6364186421615</v>
      </c>
      <c r="H23" s="744">
        <v>51.74</v>
      </c>
      <c r="I23" s="744">
        <v>11.52</v>
      </c>
      <c r="J23" s="744">
        <v>1998.2431209500005</v>
      </c>
      <c r="K23" s="744">
        <v>701817.45377147663</v>
      </c>
      <c r="L23" s="744">
        <v>1</v>
      </c>
      <c r="M23" s="744"/>
      <c r="N23" s="744">
        <v>0.2833</v>
      </c>
      <c r="O23" s="746">
        <v>566.10227616513509</v>
      </c>
      <c r="P23" s="434">
        <v>1</v>
      </c>
      <c r="Q23" s="746">
        <v>566.10227616513509</v>
      </c>
      <c r="S23" s="747">
        <v>16</v>
      </c>
      <c r="T23" s="748">
        <v>9057.6364186421615</v>
      </c>
      <c r="U23" s="434" t="s">
        <v>615</v>
      </c>
    </row>
    <row r="24" spans="1:23" ht="15" x14ac:dyDescent="0.25">
      <c r="A24" s="434" t="s">
        <v>629</v>
      </c>
      <c r="B24" s="749" t="s">
        <v>642</v>
      </c>
      <c r="C24" s="757">
        <f t="shared" si="3"/>
        <v>359.79055011343013</v>
      </c>
      <c r="D24" s="434">
        <f t="shared" si="0"/>
        <v>2</v>
      </c>
      <c r="E24" s="757">
        <f t="shared" si="1"/>
        <v>719.58110022686026</v>
      </c>
      <c r="F24" s="747">
        <f t="shared" si="4"/>
        <v>30.856000000000002</v>
      </c>
      <c r="G24" s="747">
        <f t="shared" si="2"/>
        <v>22203.394428600001</v>
      </c>
      <c r="H24" s="744">
        <v>5</v>
      </c>
      <c r="I24" s="744">
        <v>4</v>
      </c>
      <c r="J24" s="744">
        <v>7.0683750000000005</v>
      </c>
      <c r="K24" s="744">
        <v>36.225421875000002</v>
      </c>
      <c r="L24" s="744">
        <v>396</v>
      </c>
      <c r="M24" s="744"/>
      <c r="N24" s="744">
        <v>0.2833</v>
      </c>
      <c r="O24" s="746">
        <v>792.97837245000005</v>
      </c>
      <c r="P24" s="434">
        <v>2</v>
      </c>
      <c r="Q24" s="746">
        <v>1585.9567449000001</v>
      </c>
      <c r="R24" s="434" t="s">
        <v>630</v>
      </c>
      <c r="S24" s="747">
        <v>14</v>
      </c>
      <c r="T24" s="748">
        <v>22203.394428600001</v>
      </c>
      <c r="U24" s="434" t="s">
        <v>615</v>
      </c>
    </row>
    <row r="25" spans="1:23" ht="15" x14ac:dyDescent="0.25">
      <c r="A25" s="434" t="s">
        <v>631</v>
      </c>
      <c r="B25" s="749" t="s">
        <v>642</v>
      </c>
      <c r="C25" s="757">
        <f t="shared" si="3"/>
        <v>499.09130671506352</v>
      </c>
      <c r="D25" s="434">
        <f t="shared" si="0"/>
        <v>1</v>
      </c>
      <c r="E25" s="757">
        <f t="shared" si="1"/>
        <v>499.09130671506352</v>
      </c>
      <c r="F25" s="747">
        <f t="shared" si="4"/>
        <v>59.508000000000003</v>
      </c>
      <c r="G25" s="747">
        <f t="shared" si="2"/>
        <v>29699.925480000002</v>
      </c>
      <c r="H25" s="744"/>
      <c r="I25" s="744"/>
      <c r="J25" s="744">
        <v>0</v>
      </c>
      <c r="K25" s="744">
        <v>0</v>
      </c>
      <c r="L25" s="744"/>
      <c r="M25" s="744">
        <v>3882.8</v>
      </c>
      <c r="N25" s="744">
        <v>0.2833</v>
      </c>
      <c r="O25" s="746">
        <v>1099.9972400000001</v>
      </c>
      <c r="P25" s="434">
        <v>1</v>
      </c>
      <c r="Q25" s="746">
        <v>1099.9972400000001</v>
      </c>
      <c r="R25" s="434" t="s">
        <v>632</v>
      </c>
      <c r="S25" s="747">
        <v>27</v>
      </c>
      <c r="T25" s="748">
        <v>29699.925480000005</v>
      </c>
      <c r="U25" s="434" t="s">
        <v>615</v>
      </c>
    </row>
    <row r="26" spans="1:23" ht="15" x14ac:dyDescent="0.25">
      <c r="G26" s="747"/>
      <c r="O26" s="746"/>
      <c r="Q26" s="746"/>
      <c r="S26" s="747"/>
      <c r="T26" s="748"/>
    </row>
    <row r="27" spans="1:23" s="753" customFormat="1" ht="15" x14ac:dyDescent="0.25">
      <c r="C27" s="762">
        <f>SUM(C6:C25)</f>
        <v>34213.853012674925</v>
      </c>
      <c r="D27" s="762">
        <f>SUM(D6:D25)</f>
        <v>40</v>
      </c>
      <c r="E27" s="762">
        <f>SUM(E6:E25)</f>
        <v>45322.580346986069</v>
      </c>
      <c r="F27" s="765"/>
      <c r="G27" s="765">
        <f>SUM(G6:G25)</f>
        <v>1224163.2773048244</v>
      </c>
      <c r="H27" s="745">
        <v>0</v>
      </c>
      <c r="I27" s="745">
        <v>0</v>
      </c>
      <c r="J27" s="745">
        <v>0</v>
      </c>
      <c r="K27" s="745">
        <v>0</v>
      </c>
      <c r="L27" s="745">
        <v>0</v>
      </c>
      <c r="M27" s="745"/>
      <c r="N27" s="745">
        <v>0.2833</v>
      </c>
      <c r="O27" s="766">
        <v>0</v>
      </c>
      <c r="P27" s="753">
        <v>1</v>
      </c>
      <c r="Q27" s="766">
        <v>0</v>
      </c>
      <c r="S27" s="765"/>
      <c r="T27" s="767"/>
    </row>
    <row r="28" spans="1:23" ht="15" x14ac:dyDescent="0.25">
      <c r="C28" s="757"/>
      <c r="D28" s="757"/>
      <c r="P28" s="753" t="s">
        <v>633</v>
      </c>
      <c r="Q28" s="755">
        <v>106224.04401589428</v>
      </c>
      <c r="S28" s="753" t="s">
        <v>634</v>
      </c>
      <c r="T28" s="756">
        <v>1224163.2773048244</v>
      </c>
    </row>
    <row r="29" spans="1:23" ht="15" x14ac:dyDescent="0.25">
      <c r="A29" s="611" t="s">
        <v>666</v>
      </c>
      <c r="B29" s="764"/>
      <c r="H29" s="764"/>
      <c r="I29" s="764"/>
      <c r="J29" s="764"/>
      <c r="K29" s="764"/>
      <c r="L29" s="764"/>
      <c r="M29" s="764"/>
    </row>
    <row r="30" spans="1:23" s="753" customFormat="1" ht="15" x14ac:dyDescent="0.25">
      <c r="A30" s="763"/>
      <c r="B30" s="763"/>
      <c r="C30" s="763" t="s">
        <v>635</v>
      </c>
      <c r="D30" s="763" t="s">
        <v>638</v>
      </c>
      <c r="E30" s="763" t="s">
        <v>637</v>
      </c>
      <c r="F30" s="763" t="s">
        <v>639</v>
      </c>
      <c r="G30" s="763" t="s">
        <v>636</v>
      </c>
      <c r="H30" s="763"/>
      <c r="I30" s="763"/>
      <c r="J30" s="763"/>
      <c r="K30" s="763"/>
      <c r="L30" s="763"/>
      <c r="M30" s="763"/>
      <c r="N30" s="763"/>
      <c r="O30" s="763"/>
      <c r="P30" s="763"/>
      <c r="Q30" s="763"/>
      <c r="R30" s="763"/>
      <c r="S30" s="763"/>
      <c r="T30" s="763"/>
      <c r="U30" s="763"/>
      <c r="V30" s="763"/>
      <c r="W30" s="763"/>
    </row>
    <row r="31" spans="1:23" s="753" customFormat="1" ht="15" x14ac:dyDescent="0.25">
      <c r="A31" s="753" t="s">
        <v>667</v>
      </c>
      <c r="B31" s="763" t="s">
        <v>640</v>
      </c>
      <c r="C31" s="753" t="s">
        <v>643</v>
      </c>
      <c r="D31" s="763" t="s">
        <v>507</v>
      </c>
      <c r="E31" s="753" t="s">
        <v>643</v>
      </c>
      <c r="F31" s="763" t="s">
        <v>644</v>
      </c>
      <c r="G31" s="753" t="s">
        <v>572</v>
      </c>
      <c r="H31" s="763" t="s">
        <v>668</v>
      </c>
      <c r="I31" s="753" t="s">
        <v>669</v>
      </c>
      <c r="J31" s="763" t="s">
        <v>670</v>
      </c>
      <c r="K31" s="753" t="s">
        <v>671</v>
      </c>
      <c r="L31" s="763" t="s">
        <v>672</v>
      </c>
      <c r="M31" s="753" t="s">
        <v>673</v>
      </c>
      <c r="N31" s="763" t="s">
        <v>674</v>
      </c>
      <c r="O31" s="753" t="s">
        <v>675</v>
      </c>
      <c r="P31" s="763" t="s">
        <v>676</v>
      </c>
      <c r="Q31" s="753" t="s">
        <v>677</v>
      </c>
      <c r="R31" s="763" t="s">
        <v>678</v>
      </c>
      <c r="S31" s="753" t="s">
        <v>679</v>
      </c>
      <c r="T31" s="763"/>
      <c r="V31" s="763"/>
    </row>
    <row r="32" spans="1:23" ht="15" x14ac:dyDescent="0.25">
      <c r="A32" s="434" t="s">
        <v>680</v>
      </c>
      <c r="B32" s="749" t="s">
        <v>695</v>
      </c>
      <c r="C32" s="434">
        <f t="shared" ref="C32:C39" si="5">M32/2.204</f>
        <v>205.52618058076226</v>
      </c>
      <c r="D32" s="749">
        <f t="shared" ref="D32:D39" si="6">N32</f>
        <v>12</v>
      </c>
      <c r="E32" s="434">
        <f t="shared" ref="E32:E39" si="7">C32*D32</f>
        <v>2466.3141669691472</v>
      </c>
      <c r="F32" s="749">
        <f t="shared" ref="F32:F39" si="8">Q32*2.204</f>
        <v>42.294760000000004</v>
      </c>
      <c r="G32" s="434">
        <f t="shared" ref="G32:G39" si="9">F32*E32</f>
        <v>104312.16577656002</v>
      </c>
      <c r="H32" s="749">
        <v>18</v>
      </c>
      <c r="I32" s="434">
        <v>2.7</v>
      </c>
      <c r="J32" s="749">
        <v>32.9</v>
      </c>
      <c r="K32" s="434">
        <v>1598.94</v>
      </c>
      <c r="L32" s="749">
        <v>0.2833</v>
      </c>
      <c r="M32" s="434">
        <v>452.97970200000003</v>
      </c>
      <c r="N32" s="749">
        <v>12</v>
      </c>
      <c r="O32" s="434">
        <v>5435.7564240000002</v>
      </c>
      <c r="P32" s="749" t="s">
        <v>681</v>
      </c>
      <c r="Q32" s="434">
        <v>19.190000000000001</v>
      </c>
      <c r="R32" s="749">
        <v>104312.16577656001</v>
      </c>
      <c r="S32" s="434" t="s">
        <v>682</v>
      </c>
      <c r="T32" s="749"/>
      <c r="V32" s="749"/>
    </row>
    <row r="33" spans="1:23" ht="15" x14ac:dyDescent="0.25">
      <c r="A33" s="434" t="s">
        <v>683</v>
      </c>
      <c r="B33" s="749" t="s">
        <v>695</v>
      </c>
      <c r="C33" s="434">
        <f t="shared" si="5"/>
        <v>91.344969147005429</v>
      </c>
      <c r="D33" s="749">
        <f t="shared" si="6"/>
        <v>8</v>
      </c>
      <c r="E33" s="434">
        <f t="shared" si="7"/>
        <v>730.75975317604343</v>
      </c>
      <c r="F33" s="749">
        <f t="shared" si="8"/>
        <v>42.294760000000004</v>
      </c>
      <c r="G33" s="434">
        <f t="shared" si="9"/>
        <v>30907.308378239999</v>
      </c>
      <c r="H33" s="749">
        <v>12</v>
      </c>
      <c r="I33" s="434">
        <v>1.8</v>
      </c>
      <c r="J33" s="749">
        <v>32.9</v>
      </c>
      <c r="K33" s="434">
        <v>710.64</v>
      </c>
      <c r="L33" s="749">
        <v>0.2833</v>
      </c>
      <c r="M33" s="434">
        <v>201.32431199999999</v>
      </c>
      <c r="N33" s="749">
        <v>8</v>
      </c>
      <c r="O33" s="434">
        <v>1610.5944959999999</v>
      </c>
      <c r="P33" s="749" t="s">
        <v>684</v>
      </c>
      <c r="Q33" s="434">
        <v>19.190000000000001</v>
      </c>
      <c r="R33" s="749">
        <v>30907.308378240003</v>
      </c>
      <c r="S33" s="434" t="s">
        <v>682</v>
      </c>
      <c r="T33" s="749"/>
      <c r="V33" s="749"/>
    </row>
    <row r="34" spans="1:23" ht="15" x14ac:dyDescent="0.25">
      <c r="A34" s="754" t="s">
        <v>685</v>
      </c>
      <c r="B34" s="749" t="s">
        <v>695</v>
      </c>
      <c r="C34" s="434">
        <f t="shared" si="5"/>
        <v>45.372050816696913</v>
      </c>
      <c r="D34" s="749">
        <f t="shared" si="6"/>
        <v>2</v>
      </c>
      <c r="E34" s="434">
        <f t="shared" si="7"/>
        <v>90.744101633393825</v>
      </c>
      <c r="F34" s="749">
        <f t="shared" si="8"/>
        <v>30.856000000000002</v>
      </c>
      <c r="G34" s="434">
        <f t="shared" si="9"/>
        <v>2800</v>
      </c>
      <c r="H34" s="749"/>
      <c r="I34" s="754">
        <v>1</v>
      </c>
      <c r="J34" s="749"/>
      <c r="K34" s="754">
        <v>0</v>
      </c>
      <c r="L34" s="749">
        <v>0.2833</v>
      </c>
      <c r="M34" s="754">
        <v>100</v>
      </c>
      <c r="N34" s="749">
        <v>2</v>
      </c>
      <c r="O34" s="754">
        <v>200</v>
      </c>
      <c r="P34" s="749" t="s">
        <v>686</v>
      </c>
      <c r="Q34" s="754">
        <v>14</v>
      </c>
      <c r="R34" s="749">
        <v>2800</v>
      </c>
      <c r="S34" s="754" t="s">
        <v>615</v>
      </c>
      <c r="T34" s="749"/>
      <c r="U34" s="754"/>
      <c r="V34" s="749"/>
      <c r="W34" s="754"/>
    </row>
    <row r="35" spans="1:23" ht="15" x14ac:dyDescent="0.25">
      <c r="A35" s="754" t="s">
        <v>687</v>
      </c>
      <c r="B35" s="749" t="s">
        <v>695</v>
      </c>
      <c r="C35" s="754">
        <f t="shared" si="5"/>
        <v>49.183303085299457</v>
      </c>
      <c r="D35" s="749">
        <f t="shared" si="6"/>
        <v>12</v>
      </c>
      <c r="E35" s="754">
        <f t="shared" si="7"/>
        <v>590.19963702359348</v>
      </c>
      <c r="F35" s="749">
        <f t="shared" si="8"/>
        <v>30.856000000000002</v>
      </c>
      <c r="G35" s="754">
        <f t="shared" si="9"/>
        <v>18211.2</v>
      </c>
      <c r="H35" s="749"/>
      <c r="I35" s="754">
        <v>0</v>
      </c>
      <c r="J35" s="749"/>
      <c r="K35" s="754">
        <v>0</v>
      </c>
      <c r="L35" s="749">
        <v>0.2833</v>
      </c>
      <c r="M35" s="754">
        <v>108.4</v>
      </c>
      <c r="N35" s="749">
        <v>12</v>
      </c>
      <c r="O35" s="754">
        <v>1300.8000000000002</v>
      </c>
      <c r="P35" s="749" t="s">
        <v>686</v>
      </c>
      <c r="Q35" s="754">
        <v>14</v>
      </c>
      <c r="R35" s="749">
        <v>18211.200000000004</v>
      </c>
      <c r="S35" s="754" t="s">
        <v>615</v>
      </c>
      <c r="T35" s="749"/>
      <c r="U35" s="754"/>
      <c r="V35" s="749"/>
      <c r="W35" s="754"/>
    </row>
    <row r="36" spans="1:23" ht="15" x14ac:dyDescent="0.25">
      <c r="A36" s="754" t="s">
        <v>688</v>
      </c>
      <c r="B36" s="749" t="s">
        <v>695</v>
      </c>
      <c r="C36" s="754">
        <f t="shared" si="5"/>
        <v>1338.4754990925589</v>
      </c>
      <c r="D36" s="749">
        <f t="shared" si="6"/>
        <v>3</v>
      </c>
      <c r="E36" s="754">
        <f t="shared" si="7"/>
        <v>4015.4264972776768</v>
      </c>
      <c r="F36" s="749">
        <f t="shared" si="8"/>
        <v>17.632000000000001</v>
      </c>
      <c r="G36" s="754">
        <f t="shared" si="9"/>
        <v>70800</v>
      </c>
      <c r="H36" s="749"/>
      <c r="I36" s="754">
        <v>0.75</v>
      </c>
      <c r="J36" s="749"/>
      <c r="K36" s="754">
        <v>0</v>
      </c>
      <c r="L36" s="749">
        <v>0.2833</v>
      </c>
      <c r="M36" s="754">
        <v>2950</v>
      </c>
      <c r="N36" s="749">
        <v>3</v>
      </c>
      <c r="O36" s="754">
        <v>8850</v>
      </c>
      <c r="P36" s="749" t="s">
        <v>689</v>
      </c>
      <c r="Q36" s="754">
        <v>8</v>
      </c>
      <c r="R36" s="749">
        <v>70800</v>
      </c>
      <c r="S36" s="754" t="s">
        <v>615</v>
      </c>
      <c r="T36" s="749"/>
      <c r="U36" s="754"/>
      <c r="V36" s="749"/>
      <c r="W36" s="754"/>
    </row>
    <row r="37" spans="1:23" ht="15" x14ac:dyDescent="0.25">
      <c r="A37" s="749" t="s">
        <v>690</v>
      </c>
      <c r="B37" s="749" t="s">
        <v>695</v>
      </c>
      <c r="C37" s="754">
        <f t="shared" si="5"/>
        <v>19.28085299455535</v>
      </c>
      <c r="D37" s="749">
        <f t="shared" si="6"/>
        <v>2</v>
      </c>
      <c r="E37" s="754">
        <f t="shared" si="7"/>
        <v>38.561705989110699</v>
      </c>
      <c r="F37" s="749">
        <f t="shared" si="8"/>
        <v>17.632000000000001</v>
      </c>
      <c r="G37" s="754">
        <f t="shared" si="9"/>
        <v>679.91999999999985</v>
      </c>
      <c r="H37" s="749">
        <v>30</v>
      </c>
      <c r="I37" s="749">
        <v>0.125</v>
      </c>
      <c r="J37" s="749">
        <v>40</v>
      </c>
      <c r="K37" s="749">
        <v>150</v>
      </c>
      <c r="L37" s="749">
        <v>0.2833</v>
      </c>
      <c r="M37" s="749">
        <v>42.494999999999997</v>
      </c>
      <c r="N37" s="749">
        <v>2</v>
      </c>
      <c r="O37" s="749">
        <v>84.99</v>
      </c>
      <c r="P37" s="749" t="s">
        <v>686</v>
      </c>
      <c r="Q37" s="749">
        <v>8</v>
      </c>
      <c r="R37" s="749">
        <v>679.92</v>
      </c>
      <c r="S37" s="749" t="s">
        <v>615</v>
      </c>
      <c r="T37" s="749"/>
      <c r="U37" s="749"/>
      <c r="V37" s="749"/>
      <c r="W37" s="749"/>
    </row>
    <row r="38" spans="1:23" ht="15" x14ac:dyDescent="0.25">
      <c r="A38" s="434" t="s">
        <v>691</v>
      </c>
      <c r="B38" s="749" t="s">
        <v>695</v>
      </c>
      <c r="C38" s="749">
        <f t="shared" si="5"/>
        <v>69.411070780399271</v>
      </c>
      <c r="D38" s="749">
        <f t="shared" si="6"/>
        <v>2</v>
      </c>
      <c r="E38" s="749">
        <f t="shared" si="7"/>
        <v>138.82214156079854</v>
      </c>
      <c r="F38" s="749">
        <f t="shared" si="8"/>
        <v>17.632000000000001</v>
      </c>
      <c r="G38" s="749">
        <f t="shared" si="9"/>
        <v>2447.712</v>
      </c>
      <c r="H38" s="749">
        <v>40</v>
      </c>
      <c r="I38" s="434">
        <v>0.125</v>
      </c>
      <c r="J38" s="749">
        <v>108</v>
      </c>
      <c r="K38" s="434">
        <v>540</v>
      </c>
      <c r="L38" s="749">
        <v>0.2833</v>
      </c>
      <c r="M38" s="434">
        <v>152.982</v>
      </c>
      <c r="N38" s="749">
        <v>2</v>
      </c>
      <c r="O38" s="434">
        <v>305.964</v>
      </c>
      <c r="P38" s="749" t="s">
        <v>686</v>
      </c>
      <c r="Q38" s="434">
        <v>8</v>
      </c>
      <c r="R38" s="749">
        <v>2447.712</v>
      </c>
      <c r="S38" s="434" t="s">
        <v>615</v>
      </c>
      <c r="T38" s="749"/>
      <c r="V38" s="749"/>
    </row>
    <row r="39" spans="1:23" ht="15" x14ac:dyDescent="0.25">
      <c r="A39" s="434" t="s">
        <v>692</v>
      </c>
      <c r="B39" s="749" t="s">
        <v>695</v>
      </c>
      <c r="C39" s="434">
        <f t="shared" si="5"/>
        <v>52.05830308529945</v>
      </c>
      <c r="D39" s="749">
        <f t="shared" si="6"/>
        <v>2</v>
      </c>
      <c r="E39" s="434">
        <f t="shared" si="7"/>
        <v>104.1166061705989</v>
      </c>
      <c r="F39" s="749">
        <f t="shared" si="8"/>
        <v>17.632000000000001</v>
      </c>
      <c r="G39" s="434">
        <f t="shared" si="9"/>
        <v>1835.7839999999999</v>
      </c>
      <c r="H39" s="749">
        <v>30</v>
      </c>
      <c r="I39" s="434">
        <v>0.125</v>
      </c>
      <c r="J39" s="749">
        <v>108</v>
      </c>
      <c r="K39" s="434">
        <v>405</v>
      </c>
      <c r="L39" s="749">
        <v>0.2833</v>
      </c>
      <c r="M39" s="434">
        <v>114.73649999999999</v>
      </c>
      <c r="N39" s="749">
        <v>2</v>
      </c>
      <c r="O39" s="434">
        <v>229.47299999999998</v>
      </c>
      <c r="P39" s="749" t="s">
        <v>686</v>
      </c>
      <c r="Q39" s="434">
        <v>8</v>
      </c>
      <c r="R39" s="749">
        <v>1835.7839999999999</v>
      </c>
      <c r="S39" s="434" t="s">
        <v>615</v>
      </c>
      <c r="T39" s="749"/>
      <c r="V39" s="749"/>
    </row>
    <row r="40" spans="1:23" s="753" customFormat="1" ht="15" x14ac:dyDescent="0.25">
      <c r="B40" s="763"/>
      <c r="H40" s="763"/>
      <c r="J40" s="763"/>
      <c r="L40" s="763"/>
      <c r="N40" s="763"/>
      <c r="P40" s="763"/>
      <c r="R40" s="763"/>
      <c r="T40" s="763"/>
      <c r="V40" s="763"/>
    </row>
    <row r="41" spans="1:23" s="753" customFormat="1" ht="15" x14ac:dyDescent="0.25">
      <c r="B41" s="763"/>
      <c r="D41" s="763">
        <f>SUM(D32:D39)</f>
        <v>43</v>
      </c>
      <c r="E41" s="753">
        <f>SUM(E32:E39)</f>
        <v>8174.9446098003637</v>
      </c>
      <c r="F41" s="763">
        <f>SUM(F32:F39)</f>
        <v>216.82952000000003</v>
      </c>
      <c r="G41" s="753">
        <f>SUM(G32:G39)</f>
        <v>231994.09015480007</v>
      </c>
      <c r="H41" s="763"/>
      <c r="J41" s="763"/>
      <c r="L41" s="763"/>
      <c r="N41" s="763" t="s">
        <v>693</v>
      </c>
      <c r="O41" s="753">
        <v>18017.57792</v>
      </c>
      <c r="P41" s="763" t="s">
        <v>694</v>
      </c>
      <c r="R41" s="763">
        <v>231994.09015480004</v>
      </c>
      <c r="T41" s="763"/>
      <c r="V41" s="763"/>
    </row>
    <row r="42" spans="1:23" ht="15" x14ac:dyDescent="0.25">
      <c r="A42" s="754"/>
      <c r="B42" s="749"/>
      <c r="C42" s="754"/>
      <c r="D42" s="749"/>
      <c r="E42" s="754"/>
      <c r="F42" s="749"/>
      <c r="G42" s="754"/>
      <c r="H42" s="749"/>
      <c r="I42" s="754"/>
      <c r="J42" s="749"/>
      <c r="K42" s="754"/>
      <c r="L42" s="749"/>
      <c r="M42" s="754"/>
      <c r="N42" s="749"/>
      <c r="O42" s="754"/>
      <c r="P42" s="749"/>
      <c r="Q42" s="754"/>
      <c r="R42" s="749"/>
      <c r="S42" s="754"/>
      <c r="T42" s="749"/>
      <c r="U42" s="754"/>
      <c r="V42" s="749"/>
      <c r="W42" s="754"/>
    </row>
    <row r="43" spans="1:23" ht="15" x14ac:dyDescent="0.25">
      <c r="A43" s="434" t="s">
        <v>704</v>
      </c>
    </row>
    <row r="44" spans="1:23" ht="15" x14ac:dyDescent="0.25">
      <c r="B44" s="763"/>
      <c r="C44" s="763" t="s">
        <v>635</v>
      </c>
      <c r="D44" s="763" t="s">
        <v>638</v>
      </c>
      <c r="E44" s="763" t="s">
        <v>637</v>
      </c>
      <c r="F44" s="763" t="s">
        <v>639</v>
      </c>
      <c r="G44" s="763" t="s">
        <v>636</v>
      </c>
      <c r="H44" s="434" t="s">
        <v>705</v>
      </c>
      <c r="I44" s="434" t="s">
        <v>706</v>
      </c>
      <c r="J44" s="434" t="s">
        <v>707</v>
      </c>
      <c r="K44" s="434" t="s">
        <v>602</v>
      </c>
      <c r="L44" s="434" t="s">
        <v>708</v>
      </c>
      <c r="M44" s="434" t="s">
        <v>709</v>
      </c>
      <c r="N44" s="434" t="s">
        <v>710</v>
      </c>
    </row>
    <row r="45" spans="1:23" ht="15" x14ac:dyDescent="0.25">
      <c r="A45" s="753" t="s">
        <v>667</v>
      </c>
      <c r="B45" s="763" t="s">
        <v>640</v>
      </c>
      <c r="C45" s="753" t="s">
        <v>643</v>
      </c>
      <c r="D45" s="763" t="s">
        <v>507</v>
      </c>
      <c r="E45" s="753" t="s">
        <v>643</v>
      </c>
      <c r="F45" s="763" t="s">
        <v>644</v>
      </c>
      <c r="G45" s="753" t="s">
        <v>572</v>
      </c>
      <c r="H45" s="744"/>
      <c r="I45" s="744"/>
    </row>
    <row r="46" spans="1:23" ht="15" x14ac:dyDescent="0.25">
      <c r="A46" s="434" t="s">
        <v>711</v>
      </c>
      <c r="B46" s="434" t="s">
        <v>731</v>
      </c>
      <c r="C46" s="434">
        <f>H46/2.204</f>
        <v>17.695099818511796</v>
      </c>
      <c r="D46" s="434">
        <f>I46</f>
        <v>144</v>
      </c>
      <c r="E46" s="434">
        <f>C46*D46</f>
        <v>2548.0943738656988</v>
      </c>
      <c r="F46" s="759">
        <f>L46*2.204</f>
        <v>2.2040000000000002</v>
      </c>
      <c r="G46" s="434">
        <f>E46*F46</f>
        <v>5616.0000000000009</v>
      </c>
      <c r="H46" s="744">
        <v>39</v>
      </c>
      <c r="I46" s="744">
        <v>144</v>
      </c>
      <c r="J46" s="744">
        <v>5616</v>
      </c>
      <c r="K46" s="434" t="s">
        <v>712</v>
      </c>
      <c r="L46" s="748">
        <v>1</v>
      </c>
      <c r="M46" s="759">
        <v>5616</v>
      </c>
      <c r="N46" s="434" t="s">
        <v>713</v>
      </c>
    </row>
    <row r="47" spans="1:23" ht="15" x14ac:dyDescent="0.25">
      <c r="B47" s="763"/>
      <c r="C47" s="763" t="s">
        <v>635</v>
      </c>
      <c r="D47" s="763" t="s">
        <v>638</v>
      </c>
      <c r="E47" s="763" t="s">
        <v>637</v>
      </c>
      <c r="F47" s="763" t="s">
        <v>735</v>
      </c>
      <c r="G47" s="763" t="s">
        <v>636</v>
      </c>
      <c r="H47" s="744"/>
      <c r="I47" s="744"/>
      <c r="J47" s="744"/>
      <c r="L47" s="748"/>
      <c r="M47" s="759"/>
    </row>
    <row r="48" spans="1:23" ht="15" x14ac:dyDescent="0.25">
      <c r="A48" s="753" t="s">
        <v>667</v>
      </c>
      <c r="B48" s="763" t="s">
        <v>640</v>
      </c>
      <c r="C48" s="753" t="s">
        <v>643</v>
      </c>
      <c r="D48" s="763" t="s">
        <v>507</v>
      </c>
      <c r="E48" s="753" t="s">
        <v>643</v>
      </c>
      <c r="F48" s="763" t="s">
        <v>644</v>
      </c>
      <c r="G48" s="753" t="s">
        <v>572</v>
      </c>
      <c r="H48" s="744"/>
      <c r="I48" s="744"/>
      <c r="J48" s="744"/>
      <c r="L48" s="748"/>
      <c r="M48" s="759"/>
    </row>
    <row r="49" spans="1:14" ht="15" x14ac:dyDescent="0.25">
      <c r="A49" s="434" t="s">
        <v>734</v>
      </c>
      <c r="B49" s="434" t="s">
        <v>733</v>
      </c>
      <c r="C49" s="434">
        <f>H49/2.204</f>
        <v>45.036297640653359</v>
      </c>
      <c r="D49" s="434">
        <f>I49</f>
        <v>2</v>
      </c>
      <c r="E49" s="434">
        <f>C49*D49</f>
        <v>90.072595281306718</v>
      </c>
      <c r="F49" s="759">
        <f>L49</f>
        <v>9617.76</v>
      </c>
      <c r="G49" s="759">
        <f>D49*F49</f>
        <v>19235.52</v>
      </c>
      <c r="H49" s="744">
        <v>99.26</v>
      </c>
      <c r="I49" s="744">
        <v>2</v>
      </c>
      <c r="J49" s="744">
        <v>198.52</v>
      </c>
      <c r="K49" s="434" t="s">
        <v>714</v>
      </c>
      <c r="L49" s="748">
        <v>9617.76</v>
      </c>
      <c r="M49" s="759">
        <v>19235.52</v>
      </c>
      <c r="N49" s="753" t="s">
        <v>715</v>
      </c>
    </row>
    <row r="50" spans="1:14" ht="15" x14ac:dyDescent="0.25">
      <c r="A50" s="434" t="s">
        <v>716</v>
      </c>
      <c r="B50" s="434" t="s">
        <v>733</v>
      </c>
      <c r="C50" s="434">
        <f>H50/2.204</f>
        <v>1.9963702359346642</v>
      </c>
      <c r="D50" s="434">
        <f>I50</f>
        <v>4</v>
      </c>
      <c r="E50" s="434">
        <f>C50*D50</f>
        <v>7.9854809437386569</v>
      </c>
      <c r="F50" s="759">
        <f>L50</f>
        <v>3204.8</v>
      </c>
      <c r="G50" s="759">
        <f>D50*F50</f>
        <v>12819.2</v>
      </c>
      <c r="H50" s="744">
        <v>4.4000000000000004</v>
      </c>
      <c r="I50" s="744">
        <v>4</v>
      </c>
      <c r="J50" s="744">
        <v>17.600000000000001</v>
      </c>
      <c r="K50" s="434" t="s">
        <v>717</v>
      </c>
      <c r="L50" s="770">
        <v>3204.8</v>
      </c>
      <c r="M50" s="759">
        <v>12819.2</v>
      </c>
      <c r="N50" s="753" t="s">
        <v>715</v>
      </c>
    </row>
    <row r="51" spans="1:14" ht="15" x14ac:dyDescent="0.25">
      <c r="F51" s="759"/>
      <c r="G51" s="759"/>
      <c r="H51" s="744"/>
      <c r="I51" s="744"/>
      <c r="J51" s="744"/>
      <c r="L51" s="770"/>
      <c r="M51" s="759"/>
      <c r="N51" s="753"/>
    </row>
    <row r="52" spans="1:14" ht="15" x14ac:dyDescent="0.25">
      <c r="B52" s="763"/>
      <c r="C52" s="763" t="s">
        <v>635</v>
      </c>
      <c r="D52" s="763" t="s">
        <v>638</v>
      </c>
      <c r="E52" s="763" t="s">
        <v>637</v>
      </c>
      <c r="F52" s="763" t="s">
        <v>735</v>
      </c>
      <c r="G52" s="763" t="s">
        <v>636</v>
      </c>
      <c r="H52" s="744"/>
      <c r="I52" s="744"/>
      <c r="J52" s="744"/>
      <c r="L52" s="770"/>
      <c r="M52" s="759"/>
      <c r="N52" s="753"/>
    </row>
    <row r="53" spans="1:14" ht="15" x14ac:dyDescent="0.25">
      <c r="A53" s="753" t="s">
        <v>667</v>
      </c>
      <c r="B53" s="763" t="s">
        <v>640</v>
      </c>
      <c r="C53" s="753" t="s">
        <v>643</v>
      </c>
      <c r="D53" s="763" t="s">
        <v>507</v>
      </c>
      <c r="E53" s="753" t="s">
        <v>643</v>
      </c>
      <c r="F53" s="763" t="s">
        <v>644</v>
      </c>
      <c r="G53" s="753" t="s">
        <v>572</v>
      </c>
    </row>
    <row r="54" spans="1:14" x14ac:dyDescent="0.3">
      <c r="A54" s="434" t="s">
        <v>718</v>
      </c>
      <c r="B54" s="434" t="s">
        <v>736</v>
      </c>
      <c r="C54" s="434">
        <f>H54/2.204</f>
        <v>77.132486388384748</v>
      </c>
      <c r="D54" s="434">
        <f>I54</f>
        <v>1</v>
      </c>
      <c r="E54" s="434">
        <f>C54*D54</f>
        <v>77.132486388384748</v>
      </c>
      <c r="F54" s="771">
        <f>M54</f>
        <v>1400</v>
      </c>
      <c r="G54" s="759">
        <f>D54*F54</f>
        <v>1400</v>
      </c>
      <c r="H54" s="744">
        <v>170</v>
      </c>
      <c r="I54" s="744">
        <v>1</v>
      </c>
      <c r="J54" s="744">
        <v>170</v>
      </c>
      <c r="K54" s="434" t="s">
        <v>719</v>
      </c>
      <c r="L54" s="748"/>
      <c r="M54" s="771">
        <v>1400</v>
      </c>
      <c r="N54" s="434" t="s">
        <v>720</v>
      </c>
    </row>
    <row r="55" spans="1:14" x14ac:dyDescent="0.3">
      <c r="F55" s="771"/>
      <c r="G55" s="759"/>
      <c r="H55" s="744"/>
      <c r="I55" s="744"/>
      <c r="J55" s="744"/>
      <c r="L55" s="748"/>
      <c r="M55" s="771"/>
    </row>
    <row r="56" spans="1:14" x14ac:dyDescent="0.3">
      <c r="B56" s="763"/>
      <c r="C56" s="763" t="s">
        <v>635</v>
      </c>
      <c r="D56" s="763" t="s">
        <v>638</v>
      </c>
      <c r="E56" s="763" t="s">
        <v>637</v>
      </c>
      <c r="F56" s="763" t="s">
        <v>735</v>
      </c>
      <c r="G56" s="763" t="s">
        <v>636</v>
      </c>
      <c r="H56" s="744"/>
      <c r="I56" s="744"/>
      <c r="J56" s="744"/>
      <c r="L56" s="748"/>
      <c r="M56" s="771"/>
    </row>
    <row r="57" spans="1:14" x14ac:dyDescent="0.3">
      <c r="A57" s="753" t="s">
        <v>667</v>
      </c>
      <c r="B57" s="763" t="s">
        <v>640</v>
      </c>
      <c r="C57" s="753" t="s">
        <v>643</v>
      </c>
      <c r="D57" s="763" t="s">
        <v>507</v>
      </c>
      <c r="E57" s="753" t="s">
        <v>643</v>
      </c>
      <c r="F57" s="763" t="s">
        <v>644</v>
      </c>
      <c r="G57" s="753" t="s">
        <v>572</v>
      </c>
      <c r="H57" s="744"/>
      <c r="I57" s="744"/>
      <c r="J57" s="744"/>
      <c r="L57" s="748"/>
      <c r="M57" s="771"/>
    </row>
    <row r="58" spans="1:14" x14ac:dyDescent="0.3">
      <c r="A58" s="434" t="s">
        <v>721</v>
      </c>
      <c r="B58" s="434" t="s">
        <v>34</v>
      </c>
      <c r="C58" s="434">
        <f>H58/2.204</f>
        <v>1127.4954627949182</v>
      </c>
      <c r="D58" s="434">
        <f>I58</f>
        <v>1</v>
      </c>
      <c r="E58" s="434">
        <f>C58*D58</f>
        <v>1127.4954627949182</v>
      </c>
      <c r="F58" s="759">
        <f>L58</f>
        <v>35000</v>
      </c>
      <c r="G58" s="759">
        <f>D58*F58</f>
        <v>35000</v>
      </c>
      <c r="H58" s="744">
        <v>2485</v>
      </c>
      <c r="I58" s="744">
        <v>1</v>
      </c>
      <c r="J58" s="744">
        <v>2485</v>
      </c>
      <c r="K58" s="434" t="s">
        <v>722</v>
      </c>
      <c r="L58" s="748">
        <v>35000</v>
      </c>
      <c r="M58" s="771">
        <v>35000</v>
      </c>
      <c r="N58" s="434" t="s">
        <v>732</v>
      </c>
    </row>
    <row r="59" spans="1:14" x14ac:dyDescent="0.3">
      <c r="F59" s="759"/>
      <c r="G59" s="759"/>
      <c r="H59" s="744"/>
      <c r="I59" s="744"/>
      <c r="J59" s="744"/>
      <c r="L59" s="748"/>
      <c r="M59" s="771"/>
    </row>
    <row r="60" spans="1:14" x14ac:dyDescent="0.3">
      <c r="B60" s="763"/>
      <c r="C60" s="763" t="s">
        <v>635</v>
      </c>
      <c r="D60" s="763" t="s">
        <v>638</v>
      </c>
      <c r="E60" s="763" t="s">
        <v>637</v>
      </c>
      <c r="F60" s="763" t="s">
        <v>639</v>
      </c>
      <c r="G60" s="763" t="s">
        <v>636</v>
      </c>
      <c r="H60" s="744"/>
      <c r="I60" s="744"/>
      <c r="J60" s="744"/>
      <c r="L60" s="748"/>
      <c r="M60" s="771"/>
    </row>
    <row r="61" spans="1:14" x14ac:dyDescent="0.3">
      <c r="A61" s="753" t="s">
        <v>667</v>
      </c>
      <c r="B61" s="763" t="s">
        <v>640</v>
      </c>
      <c r="C61" s="753" t="s">
        <v>643</v>
      </c>
      <c r="D61" s="763" t="s">
        <v>507</v>
      </c>
      <c r="E61" s="753" t="s">
        <v>643</v>
      </c>
      <c r="F61" s="763" t="s">
        <v>644</v>
      </c>
      <c r="G61" s="753" t="s">
        <v>572</v>
      </c>
      <c r="H61" s="744"/>
      <c r="I61" s="744"/>
      <c r="J61" s="744"/>
      <c r="L61" s="748"/>
      <c r="M61" s="771"/>
    </row>
    <row r="62" spans="1:14" x14ac:dyDescent="0.3">
      <c r="A62" s="434" t="s">
        <v>723</v>
      </c>
      <c r="B62" s="434" t="s">
        <v>737</v>
      </c>
      <c r="C62" s="434">
        <f>H62/2.204</f>
        <v>260.16333938294008</v>
      </c>
      <c r="D62" s="434">
        <f>I62</f>
        <v>5</v>
      </c>
      <c r="E62" s="434">
        <f>C62*D62</f>
        <v>1300.8166969147005</v>
      </c>
      <c r="F62" s="759">
        <f>L62*2.204</f>
        <v>42.294760000000004</v>
      </c>
      <c r="G62" s="434">
        <f>E62*F62</f>
        <v>55017.73</v>
      </c>
      <c r="H62" s="744">
        <v>573.4</v>
      </c>
      <c r="I62" s="744">
        <v>5</v>
      </c>
      <c r="J62" s="744">
        <v>2867</v>
      </c>
      <c r="K62" s="434" t="s">
        <v>724</v>
      </c>
      <c r="L62" s="748">
        <v>19.190000000000001</v>
      </c>
      <c r="M62" s="756">
        <v>55017.73</v>
      </c>
      <c r="N62" s="753" t="s">
        <v>725</v>
      </c>
    </row>
    <row r="63" spans="1:14" x14ac:dyDescent="0.3">
      <c r="F63" s="759"/>
      <c r="H63" s="744"/>
      <c r="I63" s="744"/>
      <c r="J63" s="744"/>
      <c r="L63" s="748"/>
      <c r="M63" s="756"/>
      <c r="N63" s="753"/>
    </row>
    <row r="64" spans="1:14" x14ac:dyDescent="0.3">
      <c r="B64" s="763"/>
      <c r="C64" s="763" t="s">
        <v>635</v>
      </c>
      <c r="D64" s="763" t="s">
        <v>638</v>
      </c>
      <c r="E64" s="763" t="s">
        <v>637</v>
      </c>
      <c r="F64" s="763" t="s">
        <v>735</v>
      </c>
      <c r="G64" s="763" t="s">
        <v>636</v>
      </c>
      <c r="H64" s="744"/>
      <c r="I64" s="744"/>
      <c r="J64" s="744"/>
      <c r="L64" s="748"/>
      <c r="M64" s="756"/>
      <c r="N64" s="753"/>
    </row>
    <row r="65" spans="1:14" x14ac:dyDescent="0.3">
      <c r="A65" s="753" t="s">
        <v>667</v>
      </c>
      <c r="B65" s="763" t="s">
        <v>640</v>
      </c>
      <c r="C65" s="753" t="s">
        <v>643</v>
      </c>
      <c r="D65" s="763" t="s">
        <v>507</v>
      </c>
      <c r="E65" s="753" t="s">
        <v>643</v>
      </c>
      <c r="F65" s="763" t="s">
        <v>644</v>
      </c>
      <c r="G65" s="753" t="s">
        <v>572</v>
      </c>
      <c r="H65" s="744"/>
      <c r="I65" s="744"/>
      <c r="J65" s="744"/>
      <c r="L65" s="748"/>
      <c r="M65" s="756"/>
      <c r="N65" s="753"/>
    </row>
    <row r="66" spans="1:14" x14ac:dyDescent="0.3">
      <c r="A66" s="434" t="s">
        <v>738</v>
      </c>
      <c r="B66" s="434" t="s">
        <v>738</v>
      </c>
      <c r="C66" s="434">
        <f>H66/2.204</f>
        <v>952.81306715063511</v>
      </c>
      <c r="D66" s="434">
        <f>I66</f>
        <v>1</v>
      </c>
      <c r="E66" s="434">
        <f>C66*D66</f>
        <v>952.81306715063511</v>
      </c>
      <c r="F66" s="759">
        <f>L66</f>
        <v>40000</v>
      </c>
      <c r="G66" s="759">
        <f>D66*F66</f>
        <v>40000</v>
      </c>
      <c r="H66" s="744">
        <v>2100</v>
      </c>
      <c r="I66" s="744">
        <v>1</v>
      </c>
      <c r="J66" s="744">
        <v>2100</v>
      </c>
      <c r="K66" s="434" t="s">
        <v>726</v>
      </c>
      <c r="L66" s="748">
        <v>40000</v>
      </c>
      <c r="M66" s="771">
        <v>40000</v>
      </c>
      <c r="N66" s="434" t="s">
        <v>732</v>
      </c>
    </row>
    <row r="67" spans="1:14" x14ac:dyDescent="0.3">
      <c r="F67" s="759"/>
      <c r="G67" s="759"/>
      <c r="H67" s="744"/>
      <c r="I67" s="744"/>
      <c r="J67" s="744"/>
      <c r="L67" s="748"/>
      <c r="M67" s="771"/>
    </row>
    <row r="68" spans="1:14" x14ac:dyDescent="0.3">
      <c r="B68" s="763"/>
      <c r="C68" s="763" t="s">
        <v>635</v>
      </c>
      <c r="D68" s="763" t="s">
        <v>638</v>
      </c>
      <c r="E68" s="763" t="s">
        <v>637</v>
      </c>
      <c r="F68" s="763" t="s">
        <v>735</v>
      </c>
      <c r="G68" s="763" t="s">
        <v>636</v>
      </c>
      <c r="H68" s="744"/>
      <c r="I68" s="744"/>
      <c r="J68" s="744"/>
      <c r="L68" s="748"/>
      <c r="M68" s="771"/>
    </row>
    <row r="69" spans="1:14" x14ac:dyDescent="0.3">
      <c r="A69" s="753" t="s">
        <v>667</v>
      </c>
      <c r="B69" s="763" t="s">
        <v>640</v>
      </c>
      <c r="C69" s="753" t="s">
        <v>643</v>
      </c>
      <c r="D69" s="763" t="s">
        <v>507</v>
      </c>
      <c r="E69" s="753" t="s">
        <v>643</v>
      </c>
      <c r="F69" s="763" t="s">
        <v>644</v>
      </c>
      <c r="G69" s="753" t="s">
        <v>572</v>
      </c>
      <c r="H69" s="744"/>
      <c r="I69" s="744"/>
      <c r="J69" s="744"/>
      <c r="L69" s="748"/>
      <c r="M69" s="771"/>
    </row>
    <row r="70" spans="1:14" x14ac:dyDescent="0.3">
      <c r="A70" s="434" t="s">
        <v>727</v>
      </c>
      <c r="C70" s="434">
        <f>H70/2.204</f>
        <v>0</v>
      </c>
      <c r="D70" s="434">
        <f>I70</f>
        <v>2</v>
      </c>
      <c r="E70" s="434">
        <f>C70*D70</f>
        <v>0</v>
      </c>
      <c r="F70" s="759">
        <f>L70</f>
        <v>6000</v>
      </c>
      <c r="G70" s="759">
        <f>D70*F70</f>
        <v>12000</v>
      </c>
      <c r="H70" s="744"/>
      <c r="I70" s="744">
        <v>2</v>
      </c>
      <c r="J70" s="744"/>
      <c r="K70" s="434" t="s">
        <v>728</v>
      </c>
      <c r="L70" s="748">
        <v>6000</v>
      </c>
      <c r="M70" s="748">
        <v>12000</v>
      </c>
      <c r="N70" s="434" t="s">
        <v>729</v>
      </c>
    </row>
    <row r="71" spans="1:14" x14ac:dyDescent="0.3">
      <c r="H71" s="744"/>
      <c r="I71" s="744"/>
      <c r="J71" s="744"/>
      <c r="K71" s="434" t="s">
        <v>730</v>
      </c>
      <c r="L71" s="748"/>
    </row>
    <row r="72" spans="1:14" x14ac:dyDescent="0.3">
      <c r="H72" s="744"/>
      <c r="I72" s="744"/>
      <c r="J72" s="744"/>
      <c r="L72" s="748"/>
    </row>
    <row r="73" spans="1:14" x14ac:dyDescent="0.3">
      <c r="H73" s="744"/>
      <c r="I73" s="744"/>
      <c r="J73" s="744"/>
      <c r="L73" s="748"/>
    </row>
    <row r="74" spans="1:14" x14ac:dyDescent="0.3">
      <c r="H74" s="744"/>
      <c r="I74" s="744"/>
      <c r="J74" s="744"/>
      <c r="L74" s="74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7"/>
  <sheetViews>
    <sheetView workbookViewId="0">
      <selection activeCell="I17" sqref="I17"/>
    </sheetView>
  </sheetViews>
  <sheetFormatPr defaultRowHeight="14.4" x14ac:dyDescent="0.3"/>
  <cols>
    <col min="2" max="2" width="17.109375" customWidth="1"/>
    <col min="3" max="3" width="22.109375" customWidth="1"/>
    <col min="4" max="4" width="28.33203125" customWidth="1"/>
    <col min="5" max="5" width="21.44140625" customWidth="1"/>
  </cols>
  <sheetData>
    <row r="1" spans="2:5" ht="15" x14ac:dyDescent="0.25">
      <c r="B1" t="s">
        <v>882</v>
      </c>
    </row>
    <row r="2" spans="2:5" ht="36" customHeight="1" x14ac:dyDescent="0.25">
      <c r="B2" s="861" t="s">
        <v>849</v>
      </c>
      <c r="C2" s="861" t="s">
        <v>852</v>
      </c>
      <c r="D2" s="861" t="s">
        <v>850</v>
      </c>
      <c r="E2" s="861" t="s">
        <v>851</v>
      </c>
    </row>
    <row r="3" spans="2:5" x14ac:dyDescent="0.3">
      <c r="B3" s="986" t="s">
        <v>100</v>
      </c>
      <c r="C3" s="855" t="s">
        <v>117</v>
      </c>
      <c r="D3" s="994" t="s">
        <v>858</v>
      </c>
      <c r="E3" s="995" t="s">
        <v>859</v>
      </c>
    </row>
    <row r="4" spans="2:5" x14ac:dyDescent="0.3">
      <c r="B4" s="986"/>
      <c r="C4" s="856" t="s">
        <v>5</v>
      </c>
      <c r="D4" s="994"/>
      <c r="E4" s="995"/>
    </row>
    <row r="5" spans="2:5" x14ac:dyDescent="0.3">
      <c r="B5" s="986"/>
      <c r="C5" s="856" t="s">
        <v>7</v>
      </c>
      <c r="D5" s="994"/>
      <c r="E5" s="995"/>
    </row>
    <row r="6" spans="2:5" x14ac:dyDescent="0.3">
      <c r="B6" s="986"/>
      <c r="C6" s="856" t="s">
        <v>8</v>
      </c>
      <c r="D6" s="994"/>
      <c r="E6" s="995"/>
    </row>
    <row r="7" spans="2:5" x14ac:dyDescent="0.3">
      <c r="B7" s="986"/>
      <c r="C7" s="857" t="s">
        <v>853</v>
      </c>
      <c r="D7" s="994"/>
      <c r="E7" s="995"/>
    </row>
    <row r="8" spans="2:5" x14ac:dyDescent="0.3">
      <c r="B8" s="987"/>
      <c r="C8" s="816" t="s">
        <v>144</v>
      </c>
      <c r="D8" s="858" t="s">
        <v>856</v>
      </c>
      <c r="E8" s="825" t="s">
        <v>857</v>
      </c>
    </row>
    <row r="9" spans="2:5" x14ac:dyDescent="0.3">
      <c r="B9" s="991" t="s">
        <v>10</v>
      </c>
      <c r="C9" s="988" t="s">
        <v>854</v>
      </c>
      <c r="D9" s="996" t="s">
        <v>860</v>
      </c>
      <c r="E9" s="987" t="s">
        <v>862</v>
      </c>
    </row>
    <row r="10" spans="2:5" x14ac:dyDescent="0.3">
      <c r="B10" s="992"/>
      <c r="C10" s="989"/>
      <c r="D10" s="997"/>
      <c r="E10" s="987"/>
    </row>
    <row r="11" spans="2:5" x14ac:dyDescent="0.3">
      <c r="B11" s="992"/>
      <c r="C11" s="990" t="s">
        <v>855</v>
      </c>
      <c r="D11" s="996" t="s">
        <v>861</v>
      </c>
      <c r="E11" s="987" t="s">
        <v>857</v>
      </c>
    </row>
    <row r="12" spans="2:5" x14ac:dyDescent="0.3">
      <c r="B12" s="993"/>
      <c r="C12" s="989"/>
      <c r="D12" s="997"/>
      <c r="E12" s="987"/>
    </row>
    <row r="13" spans="2:5" ht="52.5" customHeight="1" x14ac:dyDescent="0.25">
      <c r="B13" s="860" t="s">
        <v>863</v>
      </c>
      <c r="C13" s="859" t="s">
        <v>865</v>
      </c>
      <c r="D13" s="859" t="s">
        <v>866</v>
      </c>
      <c r="E13" s="860" t="s">
        <v>867</v>
      </c>
    </row>
    <row r="14" spans="2:5" ht="63.75" customHeight="1" x14ac:dyDescent="0.25">
      <c r="B14" s="860" t="s">
        <v>864</v>
      </c>
      <c r="C14" s="859" t="s">
        <v>868</v>
      </c>
      <c r="D14" s="862" t="s">
        <v>884</v>
      </c>
      <c r="E14" s="860" t="s">
        <v>862</v>
      </c>
    </row>
    <row r="15" spans="2:5" ht="52.5" customHeight="1" x14ac:dyDescent="0.25">
      <c r="B15" s="860" t="s">
        <v>843</v>
      </c>
      <c r="C15" s="859" t="s">
        <v>869</v>
      </c>
      <c r="D15" s="859" t="s">
        <v>870</v>
      </c>
      <c r="E15" s="860" t="s">
        <v>871</v>
      </c>
    </row>
    <row r="16" spans="2:5" ht="43.2" x14ac:dyDescent="0.3">
      <c r="B16" s="860" t="s">
        <v>47</v>
      </c>
      <c r="C16" s="859" t="s">
        <v>865</v>
      </c>
      <c r="D16" s="859" t="s">
        <v>872</v>
      </c>
      <c r="E16" s="860" t="s">
        <v>859</v>
      </c>
    </row>
    <row r="17" spans="2:5" ht="52.5" customHeight="1" x14ac:dyDescent="0.3">
      <c r="B17" s="860" t="s">
        <v>72</v>
      </c>
      <c r="C17" s="859" t="s">
        <v>865</v>
      </c>
      <c r="D17" s="859" t="s">
        <v>873</v>
      </c>
      <c r="E17" s="860" t="s">
        <v>857</v>
      </c>
    </row>
    <row r="18" spans="2:5" ht="52.5" customHeight="1" x14ac:dyDescent="0.3">
      <c r="B18" s="860" t="s">
        <v>143</v>
      </c>
      <c r="C18" s="859" t="s">
        <v>865</v>
      </c>
      <c r="D18" s="859" t="s">
        <v>873</v>
      </c>
      <c r="E18" s="860" t="s">
        <v>857</v>
      </c>
    </row>
    <row r="19" spans="2:5" ht="52.5" customHeight="1" x14ac:dyDescent="0.3">
      <c r="B19" s="860" t="s">
        <v>145</v>
      </c>
      <c r="C19" s="859" t="s">
        <v>865</v>
      </c>
      <c r="D19" s="859" t="s">
        <v>874</v>
      </c>
      <c r="E19" s="860" t="s">
        <v>862</v>
      </c>
    </row>
    <row r="20" spans="2:5" x14ac:dyDescent="0.3">
      <c r="B20" s="854" t="s">
        <v>883</v>
      </c>
    </row>
    <row r="21" spans="2:5" ht="28.8" x14ac:dyDescent="0.3">
      <c r="B21" s="861" t="s">
        <v>849</v>
      </c>
      <c r="C21" s="861" t="s">
        <v>852</v>
      </c>
      <c r="D21" s="861" t="s">
        <v>850</v>
      </c>
      <c r="E21" s="861" t="s">
        <v>851</v>
      </c>
    </row>
    <row r="22" spans="2:5" ht="43.2" x14ac:dyDescent="0.3">
      <c r="B22" s="860" t="s">
        <v>54</v>
      </c>
      <c r="C22" s="859" t="s">
        <v>865</v>
      </c>
      <c r="D22" s="859" t="s">
        <v>875</v>
      </c>
      <c r="E22" s="860" t="s">
        <v>857</v>
      </c>
    </row>
    <row r="23" spans="2:5" ht="54.75" customHeight="1" x14ac:dyDescent="0.3">
      <c r="B23" s="860" t="s">
        <v>55</v>
      </c>
      <c r="C23" s="859" t="s">
        <v>865</v>
      </c>
      <c r="D23" s="859" t="s">
        <v>876</v>
      </c>
      <c r="E23" s="860" t="s">
        <v>857</v>
      </c>
    </row>
    <row r="24" spans="2:5" ht="33" customHeight="1" x14ac:dyDescent="0.3">
      <c r="B24" s="860" t="s">
        <v>56</v>
      </c>
      <c r="C24" s="859" t="s">
        <v>865</v>
      </c>
      <c r="D24" s="859" t="s">
        <v>877</v>
      </c>
      <c r="E24" s="860" t="s">
        <v>857</v>
      </c>
    </row>
    <row r="25" spans="2:5" ht="28.8" x14ac:dyDescent="0.3">
      <c r="B25" s="860" t="s">
        <v>57</v>
      </c>
      <c r="C25" s="859" t="s">
        <v>865</v>
      </c>
      <c r="D25" s="859" t="s">
        <v>878</v>
      </c>
      <c r="E25" s="860" t="s">
        <v>857</v>
      </c>
    </row>
    <row r="26" spans="2:5" ht="34.5" customHeight="1" x14ac:dyDescent="0.3">
      <c r="B26" s="860" t="s">
        <v>52</v>
      </c>
      <c r="C26" s="859" t="s">
        <v>865</v>
      </c>
      <c r="D26" s="859" t="s">
        <v>879</v>
      </c>
      <c r="E26" s="860" t="s">
        <v>880</v>
      </c>
    </row>
    <row r="27" spans="2:5" ht="43.5" customHeight="1" x14ac:dyDescent="0.3">
      <c r="B27" s="860" t="s">
        <v>847</v>
      </c>
      <c r="C27" s="859" t="s">
        <v>865</v>
      </c>
      <c r="D27" s="859" t="s">
        <v>881</v>
      </c>
      <c r="E27" s="860" t="s">
        <v>867</v>
      </c>
    </row>
  </sheetData>
  <mergeCells count="10">
    <mergeCell ref="E3:E7"/>
    <mergeCell ref="D9:D10"/>
    <mergeCell ref="D11:D12"/>
    <mergeCell ref="E9:E10"/>
    <mergeCell ref="E11:E12"/>
    <mergeCell ref="B3:B8"/>
    <mergeCell ref="C9:C10"/>
    <mergeCell ref="C11:C12"/>
    <mergeCell ref="B9:B12"/>
    <mergeCell ref="D3:D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3"/>
  <sheetViews>
    <sheetView zoomScale="70" zoomScaleNormal="70" zoomScalePageLayoutView="70" workbookViewId="0">
      <pane xSplit="8" ySplit="2" topLeftCell="I3" activePane="bottomRight" state="frozen"/>
      <selection pane="topRight" activeCell="I1" sqref="I1"/>
      <selection pane="bottomLeft" activeCell="A3" sqref="A3"/>
      <selection pane="bottomRight" activeCell="V68" sqref="V68"/>
    </sheetView>
  </sheetViews>
  <sheetFormatPr defaultColWidth="8.88671875" defaultRowHeight="14.4" outlineLevelRow="2" x14ac:dyDescent="0.3"/>
  <cols>
    <col min="1" max="1" width="8.44140625" style="395" customWidth="1"/>
    <col min="2" max="2" width="3.88671875" style="768" customWidth="1"/>
    <col min="3" max="4" width="4.109375" style="768" customWidth="1"/>
    <col min="5" max="7" width="8.88671875" style="768"/>
    <col min="8" max="9" width="20.33203125" style="768" customWidth="1"/>
    <col min="10" max="10" width="20.33203125" style="768" bestFit="1" customWidth="1"/>
    <col min="11" max="11" width="10.109375" style="769" customWidth="1"/>
    <col min="12" max="12" width="21.5546875" style="768" bestFit="1" customWidth="1"/>
    <col min="13" max="13" width="10.109375" style="769" customWidth="1"/>
    <col min="14" max="14" width="22.6640625" style="768" bestFit="1" customWidth="1"/>
    <col min="15" max="15" width="11.44140625" style="769" customWidth="1"/>
    <col min="16" max="16" width="22.6640625" style="768" customWidth="1"/>
    <col min="17" max="17" width="11" style="768" customWidth="1"/>
    <col min="18" max="18" width="17.109375" style="768" bestFit="1" customWidth="1"/>
    <col min="19" max="19" width="16.88671875" style="768" bestFit="1" customWidth="1"/>
    <col min="20" max="20" width="19.33203125" style="768" bestFit="1" customWidth="1"/>
    <col min="21" max="21" width="18.109375" style="768" bestFit="1" customWidth="1"/>
    <col min="22" max="24" width="19.109375" style="768" bestFit="1" customWidth="1"/>
    <col min="25" max="16384" width="8.88671875" style="768"/>
  </cols>
  <sheetData>
    <row r="1" spans="1:24" ht="15" x14ac:dyDescent="0.25">
      <c r="A1" s="2" t="s">
        <v>496</v>
      </c>
      <c r="I1" s="611"/>
      <c r="J1" s="998" t="s">
        <v>66</v>
      </c>
      <c r="K1" s="998"/>
      <c r="L1" s="998"/>
      <c r="M1" s="998"/>
      <c r="N1" s="998"/>
      <c r="O1" s="998"/>
      <c r="P1" s="998"/>
      <c r="Q1" s="611"/>
    </row>
    <row r="2" spans="1:24" ht="15" x14ac:dyDescent="0.25">
      <c r="I2" s="611" t="s">
        <v>111</v>
      </c>
      <c r="J2" s="611">
        <v>1</v>
      </c>
      <c r="K2" s="90" t="s">
        <v>146</v>
      </c>
      <c r="L2" s="611">
        <v>10</v>
      </c>
      <c r="M2" s="90" t="s">
        <v>146</v>
      </c>
      <c r="N2" s="611">
        <v>50</v>
      </c>
      <c r="O2" s="90" t="s">
        <v>147</v>
      </c>
      <c r="P2" s="611">
        <v>100</v>
      </c>
      <c r="Q2" s="90" t="s">
        <v>147</v>
      </c>
      <c r="R2" s="611"/>
      <c r="S2" s="616" t="s">
        <v>892</v>
      </c>
      <c r="T2" s="611">
        <v>10</v>
      </c>
    </row>
    <row r="3" spans="1:24" s="611" customFormat="1" ht="15" x14ac:dyDescent="0.25">
      <c r="A3" s="616">
        <v>1</v>
      </c>
      <c r="B3" s="611" t="s">
        <v>0</v>
      </c>
      <c r="J3" s="628"/>
      <c r="K3" s="628"/>
      <c r="L3" s="628"/>
      <c r="M3" s="628"/>
      <c r="N3" s="628"/>
      <c r="O3" s="628"/>
      <c r="P3" s="628"/>
      <c r="S3" s="616" t="s">
        <v>890</v>
      </c>
      <c r="T3" s="108">
        <v>1</v>
      </c>
      <c r="U3" s="108">
        <v>0.6</v>
      </c>
      <c r="V3" s="108">
        <v>0.8</v>
      </c>
      <c r="W3" s="108">
        <v>1.2</v>
      </c>
      <c r="X3" s="108">
        <v>1.4</v>
      </c>
    </row>
    <row r="4" spans="1:24" s="611" customFormat="1" ht="15" x14ac:dyDescent="0.25">
      <c r="A4" s="927">
        <v>1.1000000000000001</v>
      </c>
      <c r="B4" s="928"/>
      <c r="C4" s="928" t="s">
        <v>100</v>
      </c>
      <c r="D4" s="928"/>
      <c r="E4" s="928"/>
      <c r="F4" s="928"/>
      <c r="G4" s="928"/>
      <c r="H4" s="928"/>
      <c r="I4" s="928"/>
      <c r="J4" s="929">
        <f>J5+J10+J11</f>
        <v>5205029.9153682599</v>
      </c>
      <c r="K4" s="930">
        <f t="shared" ref="K4:K46" si="0">J4/$J$50</f>
        <v>0.20298413297680482</v>
      </c>
      <c r="L4" s="929">
        <f>L5+L10+L11</f>
        <v>22990069.592403647</v>
      </c>
      <c r="M4" s="930">
        <f t="shared" ref="M4:M46" si="1">L4/$L$50</f>
        <v>0.17786360219010547</v>
      </c>
      <c r="N4" s="929">
        <f>N5+N10+N11</f>
        <v>31387064.799367517</v>
      </c>
      <c r="O4" s="930">
        <f t="shared" ref="O4:O46" si="2">N4/$N$50</f>
        <v>7.0269273303667362E-2</v>
      </c>
      <c r="P4" s="929">
        <f>P5+P10+P11</f>
        <v>30857430.744979247</v>
      </c>
      <c r="Q4" s="931">
        <f t="shared" ref="Q4:Q46" si="3">P4/$P$50</f>
        <v>3.7369595526050577E-2</v>
      </c>
      <c r="R4" s="108"/>
      <c r="S4" s="927">
        <v>1.1000000000000001</v>
      </c>
      <c r="T4" s="929">
        <f t="shared" ref="T4:T48" si="4">VLOOKUP(S4,$A$3:$Q$48,12,FALSE)</f>
        <v>22990069.592403647</v>
      </c>
      <c r="U4" s="929">
        <f>T4</f>
        <v>22990069.592403647</v>
      </c>
      <c r="V4" s="929">
        <f t="shared" ref="V4:X4" si="5">U4</f>
        <v>22990069.592403647</v>
      </c>
      <c r="W4" s="929">
        <f t="shared" si="5"/>
        <v>22990069.592403647</v>
      </c>
      <c r="X4" s="957">
        <f t="shared" si="5"/>
        <v>22990069.592403647</v>
      </c>
    </row>
    <row r="5" spans="1:24" ht="15" outlineLevel="1" x14ac:dyDescent="0.25">
      <c r="A5" s="891" t="s">
        <v>2</v>
      </c>
      <c r="B5" s="492"/>
      <c r="C5" s="492"/>
      <c r="D5" s="492" t="s">
        <v>1</v>
      </c>
      <c r="E5" s="492"/>
      <c r="F5" s="492"/>
      <c r="G5" s="492"/>
      <c r="H5" s="492"/>
      <c r="I5" s="492"/>
      <c r="J5" s="892">
        <f>SUM(J6:J9)</f>
        <v>3901000</v>
      </c>
      <c r="K5" s="893">
        <f t="shared" si="0"/>
        <v>0.15212998111779194</v>
      </c>
      <c r="L5" s="892">
        <f>SUM(L6:L9)</f>
        <v>19273500</v>
      </c>
      <c r="M5" s="893">
        <f t="shared" si="1"/>
        <v>0.14911021139073416</v>
      </c>
      <c r="N5" s="892">
        <f>SUM(N6:N9)</f>
        <v>23131000</v>
      </c>
      <c r="O5" s="893">
        <f t="shared" si="2"/>
        <v>5.1785618412457705E-2</v>
      </c>
      <c r="P5" s="892">
        <f>SUM(P6:P9)</f>
        <v>23131000</v>
      </c>
      <c r="Q5" s="894">
        <f t="shared" si="3"/>
        <v>2.8012575682559705E-2</v>
      </c>
      <c r="R5" s="628"/>
      <c r="S5" s="891" t="s">
        <v>2</v>
      </c>
      <c r="T5" s="613">
        <f t="shared" si="4"/>
        <v>19273500</v>
      </c>
      <c r="U5" s="613">
        <f t="shared" ref="U5:X5" si="6">T5</f>
        <v>19273500</v>
      </c>
      <c r="V5" s="613">
        <f t="shared" si="6"/>
        <v>19273500</v>
      </c>
      <c r="W5" s="613">
        <f t="shared" si="6"/>
        <v>19273500</v>
      </c>
      <c r="X5" s="958">
        <f t="shared" si="6"/>
        <v>19273500</v>
      </c>
    </row>
    <row r="6" spans="1:24" ht="15" outlineLevel="2" x14ac:dyDescent="0.25">
      <c r="A6" s="891" t="s">
        <v>101</v>
      </c>
      <c r="B6" s="492"/>
      <c r="C6" s="492"/>
      <c r="D6" s="492"/>
      <c r="E6" s="492" t="s">
        <v>3</v>
      </c>
      <c r="F6" s="492"/>
      <c r="G6" s="492"/>
      <c r="H6" s="492"/>
      <c r="I6" s="492"/>
      <c r="J6" s="487">
        <f>'1.1'!E5</f>
        <v>315000</v>
      </c>
      <c r="K6" s="893">
        <f t="shared" si="0"/>
        <v>1.228427173855536E-2</v>
      </c>
      <c r="L6" s="487">
        <f>'1.1'!F5</f>
        <v>430000</v>
      </c>
      <c r="M6" s="893">
        <f t="shared" si="1"/>
        <v>3.3267123718066617E-3</v>
      </c>
      <c r="N6" s="487">
        <f>'1.1'!G5</f>
        <v>430000</v>
      </c>
      <c r="O6" s="893">
        <f t="shared" si="2"/>
        <v>9.6268280305031404E-4</v>
      </c>
      <c r="P6" s="487">
        <f>'1.1'!H5</f>
        <v>430000</v>
      </c>
      <c r="Q6" s="895">
        <f t="shared" si="3"/>
        <v>5.2074737553502539E-4</v>
      </c>
      <c r="R6" s="628"/>
      <c r="S6" s="891" t="s">
        <v>101</v>
      </c>
      <c r="T6" s="613">
        <f t="shared" si="4"/>
        <v>430000</v>
      </c>
      <c r="U6" s="613">
        <f t="shared" ref="U6:X6" si="7">T6</f>
        <v>430000</v>
      </c>
      <c r="V6" s="613">
        <f t="shared" si="7"/>
        <v>430000</v>
      </c>
      <c r="W6" s="613">
        <f t="shared" si="7"/>
        <v>430000</v>
      </c>
      <c r="X6" s="958">
        <f t="shared" si="7"/>
        <v>430000</v>
      </c>
    </row>
    <row r="7" spans="1:24" ht="15" outlineLevel="2" x14ac:dyDescent="0.25">
      <c r="A7" s="891" t="s">
        <v>102</v>
      </c>
      <c r="B7" s="492"/>
      <c r="C7" s="492"/>
      <c r="D7" s="492"/>
      <c r="E7" s="492" t="s">
        <v>5</v>
      </c>
      <c r="F7" s="492"/>
      <c r="G7" s="492"/>
      <c r="H7" s="492"/>
      <c r="I7" s="492"/>
      <c r="J7" s="487">
        <f>'1.1'!E6</f>
        <v>1631000</v>
      </c>
      <c r="K7" s="893">
        <f t="shared" si="0"/>
        <v>6.3605229224075535E-2</v>
      </c>
      <c r="L7" s="487">
        <f>'1.1'!F6</f>
        <v>2566000</v>
      </c>
      <c r="M7" s="893">
        <f t="shared" si="1"/>
        <v>1.9851962665246265E-2</v>
      </c>
      <c r="N7" s="487">
        <f>'1.1'!G6</f>
        <v>3348500</v>
      </c>
      <c r="O7" s="893">
        <f t="shared" si="2"/>
        <v>7.4966124791022715E-3</v>
      </c>
      <c r="P7" s="487">
        <f>'1.1'!H6</f>
        <v>3348500</v>
      </c>
      <c r="Q7" s="895">
        <f t="shared" si="3"/>
        <v>4.0551688069279833E-3</v>
      </c>
      <c r="R7" s="628"/>
      <c r="S7" s="891" t="s">
        <v>102</v>
      </c>
      <c r="T7" s="613">
        <f t="shared" si="4"/>
        <v>2566000</v>
      </c>
      <c r="U7" s="613">
        <f t="shared" ref="U7:X7" si="8">T7</f>
        <v>2566000</v>
      </c>
      <c r="V7" s="613">
        <f t="shared" si="8"/>
        <v>2566000</v>
      </c>
      <c r="W7" s="613">
        <f t="shared" si="8"/>
        <v>2566000</v>
      </c>
      <c r="X7" s="958">
        <f t="shared" si="8"/>
        <v>2566000</v>
      </c>
    </row>
    <row r="8" spans="1:24" ht="15" outlineLevel="2" x14ac:dyDescent="0.25">
      <c r="A8" s="891" t="s">
        <v>103</v>
      </c>
      <c r="B8" s="492"/>
      <c r="C8" s="492"/>
      <c r="D8" s="492"/>
      <c r="E8" s="492" t="s">
        <v>7</v>
      </c>
      <c r="F8" s="492"/>
      <c r="G8" s="492"/>
      <c r="H8" s="492"/>
      <c r="I8" s="492"/>
      <c r="J8" s="487">
        <f>'1.1'!E7</f>
        <v>855000</v>
      </c>
      <c r="K8" s="893">
        <f t="shared" si="0"/>
        <v>3.3343023290364551E-2</v>
      </c>
      <c r="L8" s="487">
        <f>'1.1'!F7</f>
        <v>14577500</v>
      </c>
      <c r="M8" s="893">
        <f t="shared" si="1"/>
        <v>0.1127794176744456</v>
      </c>
      <c r="N8" s="487">
        <f>'1.1'!G7</f>
        <v>17427500</v>
      </c>
      <c r="O8" s="893">
        <f t="shared" si="2"/>
        <v>3.9016638488742671E-2</v>
      </c>
      <c r="P8" s="487">
        <f>'1.1'!H7</f>
        <v>17427500</v>
      </c>
      <c r="Q8" s="895">
        <f t="shared" si="3"/>
        <v>2.1105406714271292E-2</v>
      </c>
      <c r="R8" s="628"/>
      <c r="S8" s="891" t="s">
        <v>103</v>
      </c>
      <c r="T8" s="613">
        <f t="shared" si="4"/>
        <v>14577500</v>
      </c>
      <c r="U8" s="613">
        <f t="shared" ref="U8:X8" si="9">T8</f>
        <v>14577500</v>
      </c>
      <c r="V8" s="613">
        <f t="shared" si="9"/>
        <v>14577500</v>
      </c>
      <c r="W8" s="613">
        <f t="shared" si="9"/>
        <v>14577500</v>
      </c>
      <c r="X8" s="958">
        <f t="shared" si="9"/>
        <v>14577500</v>
      </c>
    </row>
    <row r="9" spans="1:24" ht="15" outlineLevel="2" x14ac:dyDescent="0.25">
      <c r="A9" s="891" t="s">
        <v>104</v>
      </c>
      <c r="B9" s="492"/>
      <c r="C9" s="492"/>
      <c r="D9" s="492"/>
      <c r="E9" s="492" t="s">
        <v>8</v>
      </c>
      <c r="F9" s="492"/>
      <c r="G9" s="492"/>
      <c r="H9" s="492"/>
      <c r="I9" s="492"/>
      <c r="J9" s="487">
        <f>'1.1'!E8</f>
        <v>1100000</v>
      </c>
      <c r="K9" s="893">
        <f t="shared" si="0"/>
        <v>4.2897456864796499E-2</v>
      </c>
      <c r="L9" s="487">
        <f>'1.1'!F8</f>
        <v>1700000</v>
      </c>
      <c r="M9" s="893">
        <f t="shared" si="1"/>
        <v>1.3152118679235639E-2</v>
      </c>
      <c r="N9" s="487">
        <f>'1.1'!G8</f>
        <v>1925000</v>
      </c>
      <c r="O9" s="893">
        <f t="shared" si="2"/>
        <v>4.3096846415624527E-3</v>
      </c>
      <c r="P9" s="487">
        <f>'1.1'!H8</f>
        <v>1925000</v>
      </c>
      <c r="Q9" s="895">
        <f t="shared" si="3"/>
        <v>2.3312527858254046E-3</v>
      </c>
      <c r="R9" s="628"/>
      <c r="S9" s="891" t="s">
        <v>104</v>
      </c>
      <c r="T9" s="613">
        <f t="shared" si="4"/>
        <v>1700000</v>
      </c>
      <c r="U9" s="613">
        <f t="shared" ref="U9:X9" si="10">T9</f>
        <v>1700000</v>
      </c>
      <c r="V9" s="613">
        <f t="shared" si="10"/>
        <v>1700000</v>
      </c>
      <c r="W9" s="613">
        <f t="shared" si="10"/>
        <v>1700000</v>
      </c>
      <c r="X9" s="958">
        <f t="shared" si="10"/>
        <v>1700000</v>
      </c>
    </row>
    <row r="10" spans="1:24" ht="15" outlineLevel="1" x14ac:dyDescent="0.25">
      <c r="A10" s="891" t="s">
        <v>4</v>
      </c>
      <c r="B10" s="492"/>
      <c r="C10" s="492"/>
      <c r="D10" s="492" t="s">
        <v>105</v>
      </c>
      <c r="E10" s="492"/>
      <c r="F10" s="492"/>
      <c r="G10" s="492"/>
      <c r="H10" s="492"/>
      <c r="I10" s="492"/>
      <c r="J10" s="487">
        <f>'1.1'!E9</f>
        <v>193963</v>
      </c>
      <c r="K10" s="893">
        <f t="shared" si="0"/>
        <v>7.5641085689695667E-3</v>
      </c>
      <c r="L10" s="487">
        <f>'1.1'!F9</f>
        <v>294061</v>
      </c>
      <c r="M10" s="893">
        <f t="shared" si="1"/>
        <v>2.2750148064321833E-3</v>
      </c>
      <c r="N10" s="487">
        <f>'1.1'!G9</f>
        <v>294061</v>
      </c>
      <c r="O10" s="893">
        <f t="shared" si="2"/>
        <v>6.583429482506474E-4</v>
      </c>
      <c r="P10" s="487">
        <f>'1.1'!H9</f>
        <v>294061</v>
      </c>
      <c r="Q10" s="895">
        <f t="shared" si="3"/>
        <v>3.5611975348187234E-4</v>
      </c>
      <c r="S10" s="891" t="s">
        <v>4</v>
      </c>
      <c r="T10" s="613">
        <f t="shared" si="4"/>
        <v>294061</v>
      </c>
      <c r="U10" s="613">
        <f t="shared" ref="U10:X10" si="11">T10</f>
        <v>294061</v>
      </c>
      <c r="V10" s="613">
        <f t="shared" si="11"/>
        <v>294061</v>
      </c>
      <c r="W10" s="613">
        <f t="shared" si="11"/>
        <v>294061</v>
      </c>
      <c r="X10" s="958">
        <f t="shared" si="11"/>
        <v>294061</v>
      </c>
    </row>
    <row r="11" spans="1:24" ht="15" outlineLevel="1" x14ac:dyDescent="0.25">
      <c r="A11" s="900" t="s">
        <v>6</v>
      </c>
      <c r="B11" s="78"/>
      <c r="C11" s="78"/>
      <c r="D11" s="78" t="s">
        <v>161</v>
      </c>
      <c r="E11" s="78"/>
      <c r="F11" s="78"/>
      <c r="G11" s="78"/>
      <c r="H11" s="78"/>
      <c r="I11" s="78"/>
      <c r="J11" s="523">
        <f>'1.1'!E10</f>
        <v>1110066.9153682597</v>
      </c>
      <c r="K11" s="901">
        <f t="shared" si="0"/>
        <v>4.3290043290043295E-2</v>
      </c>
      <c r="L11" s="523">
        <f>'1.1'!F10</f>
        <v>3422508.5924036456</v>
      </c>
      <c r="M11" s="901">
        <f t="shared" si="1"/>
        <v>2.6478375992939094E-2</v>
      </c>
      <c r="N11" s="523">
        <f>'1.1'!G10</f>
        <v>7962003.7993675163</v>
      </c>
      <c r="O11" s="901">
        <f t="shared" si="2"/>
        <v>1.7825311942959002E-2</v>
      </c>
      <c r="P11" s="523">
        <f>'1.1'!H10</f>
        <v>7432369.7449792493</v>
      </c>
      <c r="Q11" s="902">
        <f t="shared" si="3"/>
        <v>9.0009000900090012E-3</v>
      </c>
      <c r="R11" s="628"/>
      <c r="S11" s="900" t="s">
        <v>6</v>
      </c>
      <c r="T11" s="613">
        <f t="shared" si="4"/>
        <v>3422508.5924036456</v>
      </c>
      <c r="U11" s="613">
        <f t="shared" ref="U11:X11" si="12">T11</f>
        <v>3422508.5924036456</v>
      </c>
      <c r="V11" s="613">
        <f t="shared" si="12"/>
        <v>3422508.5924036456</v>
      </c>
      <c r="W11" s="613">
        <f t="shared" si="12"/>
        <v>3422508.5924036456</v>
      </c>
      <c r="X11" s="958">
        <f t="shared" si="12"/>
        <v>3422508.5924036456</v>
      </c>
    </row>
    <row r="12" spans="1:24" s="611" customFormat="1" ht="15" x14ac:dyDescent="0.25">
      <c r="A12" s="927">
        <v>1.2</v>
      </c>
      <c r="B12" s="928"/>
      <c r="C12" s="928" t="s">
        <v>10</v>
      </c>
      <c r="D12" s="928"/>
      <c r="E12" s="928"/>
      <c r="F12" s="928"/>
      <c r="G12" s="928"/>
      <c r="H12" s="928"/>
      <c r="I12" s="928"/>
      <c r="J12" s="929">
        <f>SUM(J13:J17)</f>
        <v>1111000</v>
      </c>
      <c r="K12" s="930">
        <f t="shared" si="0"/>
        <v>4.3326431433444459E-2</v>
      </c>
      <c r="L12" s="929">
        <f>SUM(L13:L17)</f>
        <v>7850000</v>
      </c>
      <c r="M12" s="930">
        <f t="shared" si="1"/>
        <v>6.0731842136470454E-2</v>
      </c>
      <c r="N12" s="929">
        <f>SUM(N13:N17)</f>
        <v>16188000</v>
      </c>
      <c r="O12" s="930">
        <f t="shared" si="2"/>
        <v>3.624164933901973E-2</v>
      </c>
      <c r="P12" s="929">
        <f>SUM(P13:P17)</f>
        <v>35610000</v>
      </c>
      <c r="Q12" s="931">
        <f t="shared" si="3"/>
        <v>4.312514893674943E-2</v>
      </c>
      <c r="S12" s="927">
        <v>1.2</v>
      </c>
      <c r="T12" s="929">
        <f t="shared" si="4"/>
        <v>7850000</v>
      </c>
      <c r="U12" s="929">
        <f t="shared" ref="U12:X12" si="13">T12</f>
        <v>7850000</v>
      </c>
      <c r="V12" s="929">
        <f t="shared" si="13"/>
        <v>7850000</v>
      </c>
      <c r="W12" s="929">
        <f t="shared" si="13"/>
        <v>7850000</v>
      </c>
      <c r="X12" s="957">
        <f t="shared" si="13"/>
        <v>7850000</v>
      </c>
    </row>
    <row r="13" spans="1:24" ht="15" outlineLevel="1" x14ac:dyDescent="0.25">
      <c r="A13" s="903" t="s">
        <v>9</v>
      </c>
      <c r="B13" s="904"/>
      <c r="C13" s="904"/>
      <c r="D13" s="904" t="str">
        <f>'1.2'!C4</f>
        <v>Subsea Cables</v>
      </c>
      <c r="E13" s="904"/>
      <c r="F13" s="904"/>
      <c r="G13" s="904"/>
      <c r="H13" s="904"/>
      <c r="I13" s="904"/>
      <c r="J13" s="905">
        <f>'1.2'!E4</f>
        <v>1010000</v>
      </c>
      <c r="K13" s="906">
        <f t="shared" si="0"/>
        <v>3.9387664939494964E-2</v>
      </c>
      <c r="L13" s="905">
        <f>'1.2'!F4</f>
        <v>2000000</v>
      </c>
      <c r="M13" s="906">
        <f t="shared" si="1"/>
        <v>1.5473080799100753E-2</v>
      </c>
      <c r="N13" s="905">
        <f>'1.2'!G4</f>
        <v>9580000</v>
      </c>
      <c r="O13" s="906">
        <f t="shared" si="2"/>
        <v>2.1447677333074438E-2</v>
      </c>
      <c r="P13" s="905">
        <f>'1.2'!H4</f>
        <v>22100000</v>
      </c>
      <c r="Q13" s="907">
        <f t="shared" si="3"/>
        <v>2.6763993021683866E-2</v>
      </c>
      <c r="S13" s="903" t="s">
        <v>9</v>
      </c>
      <c r="T13" s="613">
        <f t="shared" si="4"/>
        <v>2000000</v>
      </c>
      <c r="U13" s="613">
        <f t="shared" ref="U13:X13" si="14">T13</f>
        <v>2000000</v>
      </c>
      <c r="V13" s="613">
        <f t="shared" si="14"/>
        <v>2000000</v>
      </c>
      <c r="W13" s="613">
        <f t="shared" si="14"/>
        <v>2000000</v>
      </c>
      <c r="X13" s="958">
        <f t="shared" si="14"/>
        <v>2000000</v>
      </c>
    </row>
    <row r="14" spans="1:24" ht="15" outlineLevel="1" x14ac:dyDescent="0.25">
      <c r="A14" s="891" t="s">
        <v>11</v>
      </c>
      <c r="B14" s="492"/>
      <c r="C14" s="492"/>
      <c r="D14" s="492" t="str">
        <f>'1.2'!C5</f>
        <v>Terminations and Connectors</v>
      </c>
      <c r="E14" s="492"/>
      <c r="F14" s="492"/>
      <c r="G14" s="492"/>
      <c r="H14" s="492"/>
      <c r="I14" s="492"/>
      <c r="J14" s="487">
        <f>'1.2'!E5</f>
        <v>101000</v>
      </c>
      <c r="K14" s="893">
        <f t="shared" si="0"/>
        <v>3.9387664939494966E-3</v>
      </c>
      <c r="L14" s="487">
        <f>'1.2'!F5</f>
        <v>200000</v>
      </c>
      <c r="M14" s="893">
        <f t="shared" si="1"/>
        <v>1.5473080799100751E-3</v>
      </c>
      <c r="N14" s="487">
        <f>'1.2'!G5</f>
        <v>958000</v>
      </c>
      <c r="O14" s="893">
        <f t="shared" si="2"/>
        <v>2.144767733307444E-3</v>
      </c>
      <c r="P14" s="487">
        <f>'1.2'!H5</f>
        <v>2210000</v>
      </c>
      <c r="Q14" s="896">
        <f t="shared" si="3"/>
        <v>2.6763993021683865E-3</v>
      </c>
      <c r="S14" s="891" t="s">
        <v>11</v>
      </c>
      <c r="T14" s="613">
        <f t="shared" si="4"/>
        <v>200000</v>
      </c>
      <c r="U14" s="613">
        <f t="shared" ref="U14:X14" si="15">T14</f>
        <v>200000</v>
      </c>
      <c r="V14" s="613">
        <f t="shared" si="15"/>
        <v>200000</v>
      </c>
      <c r="W14" s="613">
        <f t="shared" si="15"/>
        <v>200000</v>
      </c>
      <c r="X14" s="958">
        <f t="shared" si="15"/>
        <v>200000</v>
      </c>
    </row>
    <row r="15" spans="1:24" ht="15" outlineLevel="1" x14ac:dyDescent="0.25">
      <c r="A15" s="891" t="s">
        <v>13</v>
      </c>
      <c r="B15" s="492"/>
      <c r="C15" s="492"/>
      <c r="D15" s="492" t="str">
        <f>'1.2'!C6</f>
        <v>Dockside Improvements</v>
      </c>
      <c r="E15" s="492"/>
      <c r="F15" s="492"/>
      <c r="G15" s="492"/>
      <c r="H15" s="492"/>
      <c r="I15" s="492"/>
      <c r="J15" s="487">
        <f>'1.2'!E6</f>
        <v>0</v>
      </c>
      <c r="K15" s="893">
        <f t="shared" si="0"/>
        <v>0</v>
      </c>
      <c r="L15" s="487">
        <f>'1.2'!F6</f>
        <v>0</v>
      </c>
      <c r="M15" s="893">
        <f t="shared" si="1"/>
        <v>0</v>
      </c>
      <c r="N15" s="487">
        <f>'1.2'!G6</f>
        <v>0</v>
      </c>
      <c r="O15" s="893">
        <f t="shared" si="2"/>
        <v>0</v>
      </c>
      <c r="P15" s="487">
        <f>'1.2'!H6</f>
        <v>0</v>
      </c>
      <c r="Q15" s="895">
        <f t="shared" si="3"/>
        <v>0</v>
      </c>
      <c r="S15" s="891" t="s">
        <v>13</v>
      </c>
      <c r="T15" s="613">
        <f t="shared" si="4"/>
        <v>0</v>
      </c>
      <c r="U15" s="613">
        <f t="shared" ref="U15:X15" si="16">T15</f>
        <v>0</v>
      </c>
      <c r="V15" s="613">
        <f t="shared" si="16"/>
        <v>0</v>
      </c>
      <c r="W15" s="613">
        <f t="shared" si="16"/>
        <v>0</v>
      </c>
      <c r="X15" s="958">
        <f t="shared" si="16"/>
        <v>0</v>
      </c>
    </row>
    <row r="16" spans="1:24" ht="15" outlineLevel="1" x14ac:dyDescent="0.25">
      <c r="A16" s="891" t="s">
        <v>15</v>
      </c>
      <c r="B16" s="492"/>
      <c r="C16" s="492"/>
      <c r="D16" s="492" t="str">
        <f>'1.2'!C7</f>
        <v>Dedicated O&amp;M Vessel</v>
      </c>
      <c r="E16" s="492"/>
      <c r="F16" s="492"/>
      <c r="G16" s="492"/>
      <c r="H16" s="492"/>
      <c r="I16" s="492"/>
      <c r="J16" s="487">
        <f>'1.2'!E7</f>
        <v>0</v>
      </c>
      <c r="K16" s="893">
        <f t="shared" si="0"/>
        <v>0</v>
      </c>
      <c r="L16" s="487">
        <f>'1.2'!F7</f>
        <v>5650000</v>
      </c>
      <c r="M16" s="893">
        <f t="shared" si="1"/>
        <v>4.3711453257459627E-2</v>
      </c>
      <c r="N16" s="487">
        <f>'1.2'!G7</f>
        <v>5650000</v>
      </c>
      <c r="O16" s="893">
        <f t="shared" si="2"/>
        <v>1.2649204272637847E-2</v>
      </c>
      <c r="P16" s="487">
        <f>'1.2'!H7</f>
        <v>11300000</v>
      </c>
      <c r="Q16" s="895">
        <f t="shared" si="3"/>
        <v>1.368475661289718E-2</v>
      </c>
      <c r="S16" s="891" t="s">
        <v>15</v>
      </c>
      <c r="T16" s="613">
        <f t="shared" si="4"/>
        <v>5650000</v>
      </c>
      <c r="U16" s="613">
        <f t="shared" ref="U16:X16" si="17">T16</f>
        <v>5650000</v>
      </c>
      <c r="V16" s="613">
        <f t="shared" si="17"/>
        <v>5650000</v>
      </c>
      <c r="W16" s="613">
        <f t="shared" si="17"/>
        <v>5650000</v>
      </c>
      <c r="X16" s="958">
        <f t="shared" si="17"/>
        <v>5650000</v>
      </c>
    </row>
    <row r="17" spans="1:27" ht="15" outlineLevel="1" x14ac:dyDescent="0.25">
      <c r="A17" s="900" t="s">
        <v>16</v>
      </c>
      <c r="B17" s="78"/>
      <c r="C17" s="78"/>
      <c r="D17" s="78" t="str">
        <f>'1.2'!C8</f>
        <v>Other</v>
      </c>
      <c r="E17" s="78"/>
      <c r="F17" s="78"/>
      <c r="G17" s="78"/>
      <c r="H17" s="78"/>
      <c r="I17" s="78"/>
      <c r="J17" s="523">
        <f>'1.2'!E8</f>
        <v>0</v>
      </c>
      <c r="K17" s="901">
        <f t="shared" si="0"/>
        <v>0</v>
      </c>
      <c r="L17" s="523">
        <f>'1.2'!F8</f>
        <v>0</v>
      </c>
      <c r="M17" s="901">
        <f t="shared" si="1"/>
        <v>0</v>
      </c>
      <c r="N17" s="523">
        <f>'1.2'!G8</f>
        <v>0</v>
      </c>
      <c r="O17" s="901">
        <f t="shared" si="2"/>
        <v>0</v>
      </c>
      <c r="P17" s="523">
        <f>'1.2'!H8</f>
        <v>0</v>
      </c>
      <c r="Q17" s="902">
        <f t="shared" si="3"/>
        <v>0</v>
      </c>
      <c r="S17" s="900" t="s">
        <v>16</v>
      </c>
      <c r="T17" s="613">
        <f t="shared" si="4"/>
        <v>0</v>
      </c>
      <c r="U17" s="613">
        <f t="shared" ref="U17:X17" si="18">T17</f>
        <v>0</v>
      </c>
      <c r="V17" s="613">
        <f t="shared" si="18"/>
        <v>0</v>
      </c>
      <c r="W17" s="613">
        <f t="shared" si="18"/>
        <v>0</v>
      </c>
      <c r="X17" s="958">
        <f t="shared" si="18"/>
        <v>0</v>
      </c>
    </row>
    <row r="18" spans="1:27" s="611" customFormat="1" ht="15" x14ac:dyDescent="0.25">
      <c r="A18" s="927">
        <v>1.3</v>
      </c>
      <c r="B18" s="928"/>
      <c r="C18" s="928" t="s">
        <v>18</v>
      </c>
      <c r="D18" s="928"/>
      <c r="E18" s="928"/>
      <c r="F18" s="928"/>
      <c r="G18" s="928"/>
      <c r="H18" s="928"/>
      <c r="I18" s="928"/>
      <c r="J18" s="929">
        <f>SUM(J19:J23)</f>
        <v>835152.27415730339</v>
      </c>
      <c r="K18" s="930">
        <f t="shared" si="0"/>
        <v>3.256900786927238E-2</v>
      </c>
      <c r="L18" s="929">
        <f>SUM(L19:L23)</f>
        <v>7441596.4674157295</v>
      </c>
      <c r="M18" s="930">
        <f t="shared" si="1"/>
        <v>5.7572211707313158E-2</v>
      </c>
      <c r="N18" s="929">
        <f>SUM(N19:N23)</f>
        <v>36178982.337078653</v>
      </c>
      <c r="O18" s="930">
        <f t="shared" si="2"/>
        <v>8.0997404948294605E-2</v>
      </c>
      <c r="P18" s="929">
        <f>SUM(P19:P23)</f>
        <v>70299964.674157307</v>
      </c>
      <c r="Q18" s="931">
        <f t="shared" si="3"/>
        <v>8.5136097916912595E-2</v>
      </c>
      <c r="S18" s="927">
        <v>1.3</v>
      </c>
      <c r="T18" s="929">
        <f t="shared" si="4"/>
        <v>7441596.4674157295</v>
      </c>
      <c r="U18" s="929">
        <f t="shared" ref="U18:X18" si="19">T18</f>
        <v>7441596.4674157295</v>
      </c>
      <c r="V18" s="929">
        <f t="shared" si="19"/>
        <v>7441596.4674157295</v>
      </c>
      <c r="W18" s="929">
        <f t="shared" si="19"/>
        <v>7441596.4674157295</v>
      </c>
      <c r="X18" s="957">
        <f t="shared" si="19"/>
        <v>7441596.4674157295</v>
      </c>
    </row>
    <row r="19" spans="1:27" ht="15" outlineLevel="1" x14ac:dyDescent="0.25">
      <c r="A19" s="903" t="s">
        <v>19</v>
      </c>
      <c r="B19" s="904"/>
      <c r="C19" s="904"/>
      <c r="D19" s="904" t="str">
        <f>'1.3 (RM3)'!C4</f>
        <v>Mooring lines/chain</v>
      </c>
      <c r="E19" s="904"/>
      <c r="F19" s="904"/>
      <c r="G19" s="904"/>
      <c r="H19" s="904"/>
      <c r="I19" s="904"/>
      <c r="J19" s="905">
        <f>'1.3'!E22</f>
        <v>548686.27415730339</v>
      </c>
      <c r="K19" s="906">
        <f t="shared" si="0"/>
        <v>2.1397496161789844E-2</v>
      </c>
      <c r="L19" s="905">
        <f>'1.3'!F22</f>
        <v>4938176.4674157295</v>
      </c>
      <c r="M19" s="906">
        <f t="shared" si="1"/>
        <v>3.8204401740270753E-2</v>
      </c>
      <c r="N19" s="905">
        <f>'1.3'!G22</f>
        <v>24690882.337078653</v>
      </c>
      <c r="O19" s="906">
        <f t="shared" si="2"/>
        <v>5.5277878646614806E-2</v>
      </c>
      <c r="P19" s="905">
        <f>'1.3'!H22</f>
        <v>49381764.674157307</v>
      </c>
      <c r="Q19" s="908">
        <f t="shared" si="3"/>
        <v>5.9803312449664296E-2</v>
      </c>
      <c r="S19" s="903" t="s">
        <v>19</v>
      </c>
      <c r="T19" s="613">
        <f t="shared" si="4"/>
        <v>4938176.4674157295</v>
      </c>
      <c r="U19" s="613">
        <f t="shared" ref="U19:X19" si="20">T19</f>
        <v>4938176.4674157295</v>
      </c>
      <c r="V19" s="613">
        <f t="shared" si="20"/>
        <v>4938176.4674157295</v>
      </c>
      <c r="W19" s="613">
        <f t="shared" si="20"/>
        <v>4938176.4674157295</v>
      </c>
      <c r="X19" s="958">
        <f t="shared" si="20"/>
        <v>4938176.4674157295</v>
      </c>
    </row>
    <row r="20" spans="1:27" ht="15" outlineLevel="1" x14ac:dyDescent="0.25">
      <c r="A20" s="891" t="s">
        <v>21</v>
      </c>
      <c r="B20" s="492"/>
      <c r="C20" s="492"/>
      <c r="D20" s="492" t="str">
        <f>'1.3 (RM3)'!C5</f>
        <v>Anchors</v>
      </c>
      <c r="E20" s="492"/>
      <c r="F20" s="492"/>
      <c r="G20" s="492"/>
      <c r="H20" s="492"/>
      <c r="I20" s="492"/>
      <c r="J20" s="487">
        <f>'1.3'!E30</f>
        <v>124166.00000000001</v>
      </c>
      <c r="K20" s="893">
        <f t="shared" si="0"/>
        <v>4.8421869355221112E-3</v>
      </c>
      <c r="L20" s="487">
        <f>'1.3'!F30</f>
        <v>1042720.0000000001</v>
      </c>
      <c r="M20" s="893">
        <f t="shared" si="1"/>
        <v>8.0670454054191688E-3</v>
      </c>
      <c r="N20" s="487">
        <f>'1.3'!G30</f>
        <v>4184600.0000000005</v>
      </c>
      <c r="O20" s="893">
        <f t="shared" si="2"/>
        <v>9.3684708317310333E-3</v>
      </c>
      <c r="P20" s="487">
        <f>'1.3'!H30</f>
        <v>6311200</v>
      </c>
      <c r="Q20" s="895">
        <f t="shared" si="3"/>
        <v>7.6431182243643083E-3</v>
      </c>
      <c r="R20" s="88"/>
      <c r="S20" s="891" t="s">
        <v>21</v>
      </c>
      <c r="T20" s="613">
        <f t="shared" si="4"/>
        <v>1042720.0000000001</v>
      </c>
      <c r="U20" s="613">
        <f t="shared" ref="U20:X20" si="21">T20</f>
        <v>1042720.0000000001</v>
      </c>
      <c r="V20" s="613">
        <f t="shared" si="21"/>
        <v>1042720.0000000001</v>
      </c>
      <c r="W20" s="613">
        <f t="shared" si="21"/>
        <v>1042720.0000000001</v>
      </c>
      <c r="X20" s="958">
        <f t="shared" si="21"/>
        <v>1042720.0000000001</v>
      </c>
    </row>
    <row r="21" spans="1:27" ht="15" outlineLevel="1" x14ac:dyDescent="0.25">
      <c r="A21" s="891" t="s">
        <v>23</v>
      </c>
      <c r="B21" s="492"/>
      <c r="C21" s="492"/>
      <c r="D21" s="492" t="str">
        <f>'1.3 (RM3)'!C6</f>
        <v>Buoyancy</v>
      </c>
      <c r="E21" s="492"/>
      <c r="F21" s="492"/>
      <c r="G21" s="492"/>
      <c r="H21" s="492"/>
      <c r="I21" s="492"/>
      <c r="J21" s="487">
        <f>'1.3'!E6</f>
        <v>60000</v>
      </c>
      <c r="K21" s="893">
        <f t="shared" si="0"/>
        <v>2.3398612835343544E-3</v>
      </c>
      <c r="L21" s="487">
        <f>'1.3'!F6</f>
        <v>540000</v>
      </c>
      <c r="M21" s="893">
        <f t="shared" si="1"/>
        <v>4.1777318157572027E-3</v>
      </c>
      <c r="N21" s="487">
        <f>'1.3'!G6</f>
        <v>2700000</v>
      </c>
      <c r="O21" s="893">
        <f t="shared" si="2"/>
        <v>6.0447524842694141E-3</v>
      </c>
      <c r="P21" s="487">
        <f>'1.3'!H6</f>
        <v>5400000</v>
      </c>
      <c r="Q21" s="895">
        <f t="shared" si="3"/>
        <v>6.539618204393343E-3</v>
      </c>
      <c r="S21" s="891" t="s">
        <v>23</v>
      </c>
      <c r="T21" s="613">
        <f t="shared" si="4"/>
        <v>540000</v>
      </c>
      <c r="U21" s="613">
        <f t="shared" ref="U21:X21" si="22">T21</f>
        <v>540000</v>
      </c>
      <c r="V21" s="613">
        <f t="shared" si="22"/>
        <v>540000</v>
      </c>
      <c r="W21" s="613">
        <f t="shared" si="22"/>
        <v>540000</v>
      </c>
      <c r="X21" s="958">
        <f t="shared" si="22"/>
        <v>540000</v>
      </c>
    </row>
    <row r="22" spans="1:27" ht="15" outlineLevel="1" x14ac:dyDescent="0.25">
      <c r="A22" s="891" t="s">
        <v>24</v>
      </c>
      <c r="B22" s="492"/>
      <c r="C22" s="492"/>
      <c r="D22" s="492" t="str">
        <f>'1.3 (RM3)'!C7</f>
        <v>Connecting Hardware (shackles etc.)</v>
      </c>
      <c r="E22" s="492"/>
      <c r="F22" s="492"/>
      <c r="G22" s="492"/>
      <c r="H22" s="492"/>
      <c r="I22" s="492"/>
      <c r="J22" s="487">
        <f>'1.3 (RM3)'!E7</f>
        <v>102300</v>
      </c>
      <c r="K22" s="893">
        <f t="shared" si="0"/>
        <v>3.9894634884260743E-3</v>
      </c>
      <c r="L22" s="487">
        <f>'1.3 (RM3)'!F7</f>
        <v>920700</v>
      </c>
      <c r="M22" s="893">
        <f t="shared" si="1"/>
        <v>7.1230327458660309E-3</v>
      </c>
      <c r="N22" s="487">
        <f>'1.3 (RM3)'!G7</f>
        <v>4603500</v>
      </c>
      <c r="O22" s="893">
        <f t="shared" si="2"/>
        <v>1.030630298567935E-2</v>
      </c>
      <c r="P22" s="487">
        <f>'1.3 (RM3)'!H7</f>
        <v>9207000</v>
      </c>
      <c r="Q22" s="895">
        <f t="shared" si="3"/>
        <v>1.1150049038490649E-2</v>
      </c>
      <c r="R22" s="383"/>
      <c r="S22" s="891" t="s">
        <v>24</v>
      </c>
      <c r="T22" s="613">
        <f t="shared" si="4"/>
        <v>920700</v>
      </c>
      <c r="U22" s="613">
        <f t="shared" ref="U22:X22" si="23">T22</f>
        <v>920700</v>
      </c>
      <c r="V22" s="613">
        <f t="shared" si="23"/>
        <v>920700</v>
      </c>
      <c r="W22" s="613">
        <f t="shared" si="23"/>
        <v>920700</v>
      </c>
      <c r="X22" s="958">
        <f t="shared" si="23"/>
        <v>920700</v>
      </c>
    </row>
    <row r="23" spans="1:27" ht="15" outlineLevel="1" x14ac:dyDescent="0.25">
      <c r="A23" s="909" t="s">
        <v>26</v>
      </c>
      <c r="B23" s="910"/>
      <c r="C23" s="910"/>
      <c r="D23" s="910" t="str">
        <f>'1.3 (RM3)'!C8</f>
        <v>Other</v>
      </c>
      <c r="E23" s="910"/>
      <c r="F23" s="910"/>
      <c r="G23" s="910"/>
      <c r="H23" s="910"/>
      <c r="I23" s="910"/>
      <c r="J23" s="911">
        <f>'1.3 (RM3)'!E8</f>
        <v>0</v>
      </c>
      <c r="K23" s="912">
        <f t="shared" si="0"/>
        <v>0</v>
      </c>
      <c r="L23" s="911">
        <f>'1.3 (RM3)'!F8</f>
        <v>0</v>
      </c>
      <c r="M23" s="912">
        <f t="shared" si="1"/>
        <v>0</v>
      </c>
      <c r="N23" s="911">
        <f>'1.3 (RM3)'!G8</f>
        <v>0</v>
      </c>
      <c r="O23" s="912">
        <f t="shared" si="2"/>
        <v>0</v>
      </c>
      <c r="P23" s="911">
        <f>'1.3 (RM3)'!H8</f>
        <v>0</v>
      </c>
      <c r="Q23" s="913">
        <f t="shared" si="3"/>
        <v>0</v>
      </c>
      <c r="R23" s="420"/>
      <c r="S23" s="909" t="s">
        <v>26</v>
      </c>
      <c r="T23" s="613">
        <f t="shared" si="4"/>
        <v>0</v>
      </c>
      <c r="U23" s="613">
        <f t="shared" ref="U23:X23" si="24">T23</f>
        <v>0</v>
      </c>
      <c r="V23" s="613">
        <f t="shared" si="24"/>
        <v>0</v>
      </c>
      <c r="W23" s="613">
        <f t="shared" si="24"/>
        <v>0</v>
      </c>
      <c r="X23" s="958">
        <f t="shared" si="24"/>
        <v>0</v>
      </c>
    </row>
    <row r="24" spans="1:27" s="611" customFormat="1" ht="15" x14ac:dyDescent="0.25">
      <c r="A24" s="927">
        <v>1.4</v>
      </c>
      <c r="B24" s="928"/>
      <c r="C24" s="928" t="s">
        <v>27</v>
      </c>
      <c r="D24" s="928"/>
      <c r="E24" s="928"/>
      <c r="F24" s="928"/>
      <c r="G24" s="928"/>
      <c r="H24" s="928"/>
      <c r="I24" s="932">
        <f>'1.4'!I9</f>
        <v>1796.7776257800001</v>
      </c>
      <c r="J24" s="933">
        <f>'1.4'!E9</f>
        <v>7682482.0945475465</v>
      </c>
      <c r="K24" s="930">
        <f t="shared" si="0"/>
        <v>0.2995990402412953</v>
      </c>
      <c r="L24" s="933">
        <f>'1.4'!F9</f>
        <v>54016525.763824143</v>
      </c>
      <c r="M24" s="930">
        <f t="shared" si="1"/>
        <v>0.41790103381517923</v>
      </c>
      <c r="N24" s="933">
        <f>'1.4'!G9</f>
        <v>239249924.7607359</v>
      </c>
      <c r="O24" s="930">
        <f t="shared" si="2"/>
        <v>0.53563206557730692</v>
      </c>
      <c r="P24" s="933">
        <f>'1.4'!H9</f>
        <v>464862307.34180164</v>
      </c>
      <c r="Q24" s="931">
        <f t="shared" si="3"/>
        <v>0.56296703844976648</v>
      </c>
      <c r="R24" s="88"/>
      <c r="S24" s="962">
        <v>1.4</v>
      </c>
      <c r="T24" s="963">
        <f t="shared" si="4"/>
        <v>54016525.763824143</v>
      </c>
      <c r="U24" s="963">
        <f>SUM(U25:U28)</f>
        <v>32409915.458294485</v>
      </c>
      <c r="V24" s="963">
        <f t="shared" ref="V24:X24" si="25">SUM(V25:V28)</f>
        <v>43213220.611059323</v>
      </c>
      <c r="W24" s="963">
        <f t="shared" si="25"/>
        <v>64819830.91658897</v>
      </c>
      <c r="X24" s="967">
        <f t="shared" si="25"/>
        <v>75623136.069353789</v>
      </c>
      <c r="Y24" s="88"/>
    </row>
    <row r="25" spans="1:27" ht="15" outlineLevel="1" x14ac:dyDescent="0.25">
      <c r="A25" s="914" t="s">
        <v>28</v>
      </c>
      <c r="B25" s="915"/>
      <c r="C25" s="915"/>
      <c r="D25" s="915" t="str">
        <f>'1.4'!D4</f>
        <v>Backward Bent Duct Main Structure</v>
      </c>
      <c r="E25" s="915"/>
      <c r="F25" s="915"/>
      <c r="G25" s="915"/>
      <c r="H25" s="915"/>
      <c r="I25" s="916">
        <f>'1.4'!I4</f>
        <v>664.101</v>
      </c>
      <c r="J25" s="917">
        <f>'1.4'!E4</f>
        <v>2839496.6457000002</v>
      </c>
      <c r="K25" s="906">
        <f t="shared" si="0"/>
        <v>0.11073380443331828</v>
      </c>
      <c r="L25" s="917">
        <f>'1.4'!F4</f>
        <v>19964868.363000002</v>
      </c>
      <c r="M25" s="906">
        <f t="shared" si="1"/>
        <v>0.1544590106620547</v>
      </c>
      <c r="N25" s="917">
        <f>'1.4'!G4</f>
        <v>88428368.655000001</v>
      </c>
      <c r="O25" s="906">
        <f t="shared" si="2"/>
        <v>0.19797318559526031</v>
      </c>
      <c r="P25" s="917">
        <f>'1.4'!H4</f>
        <v>171816210.72</v>
      </c>
      <c r="Q25" s="918">
        <f t="shared" si="3"/>
        <v>0.20807637396933232</v>
      </c>
      <c r="R25" s="88"/>
      <c r="S25" s="964" t="s">
        <v>28</v>
      </c>
      <c r="T25" s="968">
        <f t="shared" si="4"/>
        <v>19964868.363000002</v>
      </c>
      <c r="U25" s="968">
        <f>U$3*T25</f>
        <v>11978921.017800001</v>
      </c>
      <c r="V25" s="969">
        <f>V$3*T25</f>
        <v>15971894.690400003</v>
      </c>
      <c r="W25" s="969">
        <f>W$3*T25</f>
        <v>23957842.035600003</v>
      </c>
      <c r="X25" s="970">
        <f>X$3*T25</f>
        <v>27950815.7082</v>
      </c>
      <c r="Y25" s="420"/>
      <c r="AA25" s="383"/>
    </row>
    <row r="26" spans="1:27" ht="15" outlineLevel="1" x14ac:dyDescent="0.25">
      <c r="A26" s="897" t="s">
        <v>29</v>
      </c>
      <c r="B26" s="414"/>
      <c r="C26" s="414"/>
      <c r="D26" s="414" t="str">
        <f>'1.4'!D5</f>
        <v>Stern Float</v>
      </c>
      <c r="E26" s="414"/>
      <c r="F26" s="414"/>
      <c r="G26" s="414"/>
      <c r="H26" s="414"/>
      <c r="I26" s="898">
        <f>'1.4'!I5</f>
        <v>109.63500000000001</v>
      </c>
      <c r="J26" s="892">
        <f>'1.4'!E5</f>
        <v>468766.36950000003</v>
      </c>
      <c r="K26" s="893">
        <f t="shared" si="0"/>
        <v>1.8280804650266824E-2</v>
      </c>
      <c r="L26" s="892">
        <f>'1.4'!F5</f>
        <v>3295957.0050000004</v>
      </c>
      <c r="M26" s="893">
        <f t="shared" si="1"/>
        <v>2.5499304524363563E-2</v>
      </c>
      <c r="N26" s="892">
        <f>'1.4'!G5</f>
        <v>14598448.425000001</v>
      </c>
      <c r="O26" s="893">
        <f t="shared" si="2"/>
        <v>3.2682965697591729E-2</v>
      </c>
      <c r="P26" s="892">
        <f>'1.4'!H5</f>
        <v>28364767.199999999</v>
      </c>
      <c r="Q26" s="894">
        <f t="shared" si="3"/>
        <v>3.4350879248981329E-2</v>
      </c>
      <c r="R26" s="88"/>
      <c r="S26" s="965" t="s">
        <v>29</v>
      </c>
      <c r="T26" s="968">
        <f t="shared" si="4"/>
        <v>3295957.0050000004</v>
      </c>
      <c r="U26" s="968">
        <f t="shared" ref="U26:U28" si="26">U$3*T26</f>
        <v>1977574.2030000002</v>
      </c>
      <c r="V26" s="969">
        <f t="shared" ref="V26:V28" si="27">V$3*T26</f>
        <v>2636765.6040000003</v>
      </c>
      <c r="W26" s="969">
        <f t="shared" ref="W26:W28" si="28">W$3*T26</f>
        <v>3955148.4060000004</v>
      </c>
      <c r="X26" s="970">
        <f t="shared" ref="X26:X27" si="29">X$3*T26</f>
        <v>4614339.807</v>
      </c>
      <c r="Y26" s="420"/>
    </row>
    <row r="27" spans="1:27" ht="15" outlineLevel="1" x14ac:dyDescent="0.25">
      <c r="A27" s="897" t="s">
        <v>30</v>
      </c>
      <c r="B27" s="414"/>
      <c r="C27" s="414"/>
      <c r="D27" s="414" t="str">
        <f>'1.4'!D6</f>
        <v>Bow Float</v>
      </c>
      <c r="E27" s="414"/>
      <c r="F27" s="414"/>
      <c r="G27" s="414"/>
      <c r="H27" s="414"/>
      <c r="I27" s="898">
        <f>'1.4'!I6</f>
        <v>100.075</v>
      </c>
      <c r="J27" s="892">
        <f>'1.4'!E6</f>
        <v>427890.67749999999</v>
      </c>
      <c r="K27" s="893">
        <f t="shared" si="0"/>
        <v>1.6686747164458907E-2</v>
      </c>
      <c r="L27" s="892">
        <f>'1.4'!F6</f>
        <v>3008554.7250000001</v>
      </c>
      <c r="M27" s="893">
        <f t="shared" si="1"/>
        <v>2.3275805174220673E-2</v>
      </c>
      <c r="N27" s="892">
        <f>'1.4'!G6</f>
        <v>13325486.625</v>
      </c>
      <c r="O27" s="893">
        <f t="shared" si="2"/>
        <v>2.9833062363173183E-2</v>
      </c>
      <c r="P27" s="892">
        <f>'1.4'!H6</f>
        <v>25891404</v>
      </c>
      <c r="Q27" s="894">
        <f t="shared" si="3"/>
        <v>3.1355536469574556E-2</v>
      </c>
      <c r="R27" s="88"/>
      <c r="S27" s="965" t="s">
        <v>30</v>
      </c>
      <c r="T27" s="968">
        <f t="shared" si="4"/>
        <v>3008554.7250000001</v>
      </c>
      <c r="U27" s="968">
        <f t="shared" si="26"/>
        <v>1805132.835</v>
      </c>
      <c r="V27" s="969">
        <f t="shared" si="27"/>
        <v>2406843.7800000003</v>
      </c>
      <c r="W27" s="969">
        <f>W$3*T27</f>
        <v>3610265.67</v>
      </c>
      <c r="X27" s="970">
        <f t="shared" si="29"/>
        <v>4211976.6150000002</v>
      </c>
      <c r="Y27" s="420"/>
    </row>
    <row r="28" spans="1:27" ht="15" outlineLevel="1" x14ac:dyDescent="0.25">
      <c r="A28" s="919" t="s">
        <v>31</v>
      </c>
      <c r="B28" s="102"/>
      <c r="C28" s="102"/>
      <c r="D28" s="102" t="str">
        <f>'1.4'!D7</f>
        <v>Girders and Structural Supports</v>
      </c>
      <c r="E28" s="102"/>
      <c r="F28" s="102"/>
      <c r="G28" s="102"/>
      <c r="H28" s="102"/>
      <c r="I28" s="920">
        <f>'1.4'!I7</f>
        <v>922.96662578000007</v>
      </c>
      <c r="J28" s="921">
        <f>'1.4'!E7</f>
        <v>3946328.401847546</v>
      </c>
      <c r="K28" s="901">
        <f t="shared" si="0"/>
        <v>0.15389768399325127</v>
      </c>
      <c r="L28" s="921">
        <f>'1.4'!F7</f>
        <v>27747145.67082414</v>
      </c>
      <c r="M28" s="901">
        <f t="shared" si="1"/>
        <v>0.21466691345454028</v>
      </c>
      <c r="N28" s="921">
        <f>'1.4'!G7</f>
        <v>122897621.0557359</v>
      </c>
      <c r="O28" s="901">
        <f t="shared" si="2"/>
        <v>0.27514285192128168</v>
      </c>
      <c r="P28" s="921">
        <f>'1.4'!H7</f>
        <v>238789925.42180163</v>
      </c>
      <c r="Q28" s="922">
        <f t="shared" si="3"/>
        <v>0.28918424876187826</v>
      </c>
      <c r="R28" s="88"/>
      <c r="S28" s="966" t="s">
        <v>31</v>
      </c>
      <c r="T28" s="968">
        <f t="shared" si="4"/>
        <v>27747145.67082414</v>
      </c>
      <c r="U28" s="968">
        <f t="shared" si="26"/>
        <v>16648287.402494483</v>
      </c>
      <c r="V28" s="969">
        <f t="shared" si="27"/>
        <v>22197716.536659315</v>
      </c>
      <c r="W28" s="969">
        <f t="shared" si="28"/>
        <v>33296574.804988965</v>
      </c>
      <c r="X28" s="970">
        <f>X$3*T28</f>
        <v>38846003.93915379</v>
      </c>
    </row>
    <row r="29" spans="1:27" s="611" customFormat="1" ht="15" x14ac:dyDescent="0.25">
      <c r="A29" s="927">
        <v>1.5</v>
      </c>
      <c r="B29" s="928"/>
      <c r="C29" s="928" t="s">
        <v>32</v>
      </c>
      <c r="D29" s="928"/>
      <c r="E29" s="928"/>
      <c r="F29" s="928"/>
      <c r="G29" s="928"/>
      <c r="H29" s="928"/>
      <c r="I29" s="932">
        <f>SUM(I30:I38)</f>
        <v>59.601935120125823</v>
      </c>
      <c r="J29" s="934">
        <f>SUM(J30:J38)</f>
        <v>1637245.8174596245</v>
      </c>
      <c r="K29" s="930">
        <f t="shared" si="0"/>
        <v>6.384880166503884E-2</v>
      </c>
      <c r="L29" s="934">
        <f>SUM(L30:L38)</f>
        <v>9749373.4396457672</v>
      </c>
      <c r="M29" s="930">
        <f t="shared" si="1"/>
        <v>7.5426421486122885E-2</v>
      </c>
      <c r="N29" s="934">
        <f>SUM(N30:N38)</f>
        <v>34183640.015190817</v>
      </c>
      <c r="O29" s="930">
        <f t="shared" si="2"/>
        <v>7.6530238112294827E-2</v>
      </c>
      <c r="P29" s="934">
        <f>SUM(P30:P38)</f>
        <v>58812563.720209397</v>
      </c>
      <c r="Q29" s="931">
        <f t="shared" si="3"/>
        <v>7.1224391176245336E-2</v>
      </c>
      <c r="S29" s="927">
        <v>1.5</v>
      </c>
      <c r="T29" s="929">
        <f t="shared" si="4"/>
        <v>9749373.4396457672</v>
      </c>
      <c r="U29" s="929">
        <f t="shared" ref="U29:X29" si="30">T29</f>
        <v>9749373.4396457672</v>
      </c>
      <c r="V29" s="929">
        <f t="shared" si="30"/>
        <v>9749373.4396457672</v>
      </c>
      <c r="W29" s="929">
        <f t="shared" si="30"/>
        <v>9749373.4396457672</v>
      </c>
      <c r="X29" s="957">
        <f t="shared" si="30"/>
        <v>9749373.4396457672</v>
      </c>
    </row>
    <row r="30" spans="1:27" ht="15" outlineLevel="1" x14ac:dyDescent="0.25">
      <c r="A30" s="903" t="s">
        <v>33</v>
      </c>
      <c r="B30" s="904"/>
      <c r="C30" s="904"/>
      <c r="D30" s="904" t="str">
        <f>'1.5'!E4</f>
        <v>Fabricated Circular Parts</v>
      </c>
      <c r="E30" s="904"/>
      <c r="F30" s="904"/>
      <c r="G30" s="904"/>
      <c r="H30" s="904"/>
      <c r="I30" s="923">
        <f>'1.5'!L4/1000</f>
        <v>45.322580346986072</v>
      </c>
      <c r="J30" s="905">
        <f>'1.5'!G4</f>
        <v>1224163.2773048244</v>
      </c>
      <c r="K30" s="906">
        <f t="shared" si="0"/>
        <v>4.7739537621501474E-2</v>
      </c>
      <c r="L30" s="905">
        <f>'1.5'!H4</f>
        <v>7134673.3379248921</v>
      </c>
      <c r="M30" s="906">
        <f t="shared" si="1"/>
        <v>5.5197688516450863E-2</v>
      </c>
      <c r="N30" s="905">
        <f>'1.5'!I4</f>
        <v>24460195.207527436</v>
      </c>
      <c r="O30" s="906">
        <f t="shared" si="2"/>
        <v>5.476141694311714E-2</v>
      </c>
      <c r="P30" s="905">
        <f>'1.5'!J4</f>
        <v>41582331.852796644</v>
      </c>
      <c r="Q30" s="908">
        <f t="shared" si="3"/>
        <v>5.0357884141791501E-2</v>
      </c>
      <c r="R30" s="88"/>
      <c r="S30" s="903" t="s">
        <v>33</v>
      </c>
      <c r="T30" s="613">
        <f t="shared" si="4"/>
        <v>7134673.3379248921</v>
      </c>
      <c r="U30" s="613">
        <f t="shared" ref="U30:X30" si="31">T30</f>
        <v>7134673.3379248921</v>
      </c>
      <c r="V30" s="613">
        <f t="shared" si="31"/>
        <v>7134673.3379248921</v>
      </c>
      <c r="W30" s="613">
        <f t="shared" si="31"/>
        <v>7134673.3379248921</v>
      </c>
      <c r="X30" s="958">
        <f t="shared" si="31"/>
        <v>7134673.3379248921</v>
      </c>
    </row>
    <row r="31" spans="1:27" ht="15" outlineLevel="1" x14ac:dyDescent="0.25">
      <c r="A31" s="891" t="s">
        <v>35</v>
      </c>
      <c r="B31" s="492"/>
      <c r="C31" s="492"/>
      <c r="D31" s="492" t="str">
        <f>'1.5'!E5</f>
        <v>Fabricated Rectangular Parts</v>
      </c>
      <c r="E31" s="492"/>
      <c r="F31" s="492"/>
      <c r="G31" s="492"/>
      <c r="H31" s="492"/>
      <c r="I31" s="899">
        <f>'1.5'!L5/1000</f>
        <v>8.1749446098003631</v>
      </c>
      <c r="J31" s="487">
        <f>'1.5'!G5</f>
        <v>231994.09015480007</v>
      </c>
      <c r="K31" s="893">
        <f t="shared" si="0"/>
        <v>9.0472331593665876E-3</v>
      </c>
      <c r="L31" s="487">
        <f>'1.5'!H5</f>
        <v>1352108.8896146</v>
      </c>
      <c r="M31" s="893">
        <f t="shared" si="1"/>
        <v>1.0460645049094552E-2</v>
      </c>
      <c r="N31" s="487">
        <f>'1.5'!I5</f>
        <v>4635509.6884401245</v>
      </c>
      <c r="O31" s="893">
        <f t="shared" si="2"/>
        <v>1.0377966187056806E-2</v>
      </c>
      <c r="P31" s="487">
        <f>'1.5'!J5</f>
        <v>7880366.4703482119</v>
      </c>
      <c r="Q31" s="895">
        <f t="shared" si="3"/>
        <v>9.543442227181495E-3</v>
      </c>
      <c r="R31" s="88"/>
      <c r="S31" s="891" t="s">
        <v>35</v>
      </c>
      <c r="T31" s="613">
        <f t="shared" si="4"/>
        <v>1352108.8896146</v>
      </c>
      <c r="U31" s="613">
        <f t="shared" ref="U31:X31" si="32">T31</f>
        <v>1352108.8896146</v>
      </c>
      <c r="V31" s="613">
        <f t="shared" si="32"/>
        <v>1352108.8896146</v>
      </c>
      <c r="W31" s="613">
        <f t="shared" si="32"/>
        <v>1352108.8896146</v>
      </c>
      <c r="X31" s="958">
        <f t="shared" si="32"/>
        <v>1352108.8896146</v>
      </c>
    </row>
    <row r="32" spans="1:27" ht="15" outlineLevel="1" x14ac:dyDescent="0.25">
      <c r="A32" s="891" t="s">
        <v>36</v>
      </c>
      <c r="B32" s="492"/>
      <c r="C32" s="492"/>
      <c r="D32" s="492" t="str">
        <f>'1.5'!E6</f>
        <v>Ducting</v>
      </c>
      <c r="E32" s="492"/>
      <c r="F32" s="492"/>
      <c r="G32" s="492"/>
      <c r="H32" s="492"/>
      <c r="I32" s="899">
        <f>'1.5'!L6/1000</f>
        <v>2.5480943738656987</v>
      </c>
      <c r="J32" s="487">
        <f>'1.5'!G6</f>
        <v>5616.0000000000009</v>
      </c>
      <c r="K32" s="893">
        <f t="shared" si="0"/>
        <v>2.1901101613881562E-4</v>
      </c>
      <c r="L32" s="487">
        <f>'1.5'!H6</f>
        <v>47361.616587141041</v>
      </c>
      <c r="M32" s="893">
        <f t="shared" si="1"/>
        <v>3.6641506011443186E-4</v>
      </c>
      <c r="N32" s="487">
        <f>'1.5'!I6</f>
        <v>210219.17882622519</v>
      </c>
      <c r="O32" s="893">
        <f t="shared" si="2"/>
        <v>4.7063811238922255E-4</v>
      </c>
      <c r="P32" s="487">
        <f>'1.5'!J6</f>
        <v>399416.43976982782</v>
      </c>
      <c r="Q32" s="895">
        <f t="shared" si="3"/>
        <v>4.8370944826902653E-4</v>
      </c>
      <c r="R32" s="88"/>
      <c r="S32" s="891" t="s">
        <v>36</v>
      </c>
      <c r="T32" s="613">
        <f t="shared" si="4"/>
        <v>47361.616587141041</v>
      </c>
      <c r="U32" s="613">
        <f t="shared" ref="U32:X32" si="33">T32</f>
        <v>47361.616587141041</v>
      </c>
      <c r="V32" s="613">
        <f t="shared" si="33"/>
        <v>47361.616587141041</v>
      </c>
      <c r="W32" s="613">
        <f t="shared" si="33"/>
        <v>47361.616587141041</v>
      </c>
      <c r="X32" s="958">
        <f t="shared" si="33"/>
        <v>47361.616587141041</v>
      </c>
    </row>
    <row r="33" spans="1:24" ht="15" outlineLevel="1" x14ac:dyDescent="0.25">
      <c r="A33" s="891" t="s">
        <v>37</v>
      </c>
      <c r="B33" s="492"/>
      <c r="C33" s="492"/>
      <c r="D33" s="492" t="str">
        <f>'1.5'!E7</f>
        <v>Rotor Blades</v>
      </c>
      <c r="E33" s="492"/>
      <c r="F33" s="492"/>
      <c r="G33" s="492"/>
      <c r="H33" s="492"/>
      <c r="I33" s="899">
        <f>'1.5'!L7/1000</f>
        <v>1.3008166969147006</v>
      </c>
      <c r="J33" s="487">
        <f>'1.5'!G7</f>
        <v>55017.73</v>
      </c>
      <c r="K33" s="893">
        <f t="shared" si="0"/>
        <v>2.1455642722491095E-3</v>
      </c>
      <c r="L33" s="487">
        <f>'1.5'!H7</f>
        <v>320654.55533707142</v>
      </c>
      <c r="M33" s="893">
        <f t="shared" si="1"/>
        <v>2.4807569216651146E-3</v>
      </c>
      <c r="N33" s="487">
        <f>'1.5'!I7</f>
        <v>1099317.7467616028</v>
      </c>
      <c r="O33" s="893">
        <f t="shared" si="2"/>
        <v>2.4611495113846865E-3</v>
      </c>
      <c r="P33" s="487">
        <f>'1.5'!J7</f>
        <v>1868840.1694947246</v>
      </c>
      <c r="Q33" s="895">
        <f t="shared" si="3"/>
        <v>2.2632409617646741E-3</v>
      </c>
      <c r="R33" s="88"/>
      <c r="S33" s="891" t="s">
        <v>37</v>
      </c>
      <c r="T33" s="613">
        <f t="shared" si="4"/>
        <v>320654.55533707142</v>
      </c>
      <c r="U33" s="613">
        <f t="shared" ref="U33:X33" si="34">T33</f>
        <v>320654.55533707142</v>
      </c>
      <c r="V33" s="613">
        <f t="shared" si="34"/>
        <v>320654.55533707142</v>
      </c>
      <c r="W33" s="613">
        <f t="shared" si="34"/>
        <v>320654.55533707142</v>
      </c>
      <c r="X33" s="958">
        <f t="shared" si="34"/>
        <v>320654.55533707142</v>
      </c>
    </row>
    <row r="34" spans="1:24" ht="15" outlineLevel="1" x14ac:dyDescent="0.25">
      <c r="A34" s="891" t="s">
        <v>40</v>
      </c>
      <c r="B34" s="492"/>
      <c r="C34" s="492"/>
      <c r="D34" s="492" t="str">
        <f>'1.5'!E8</f>
        <v>Bearings</v>
      </c>
      <c r="E34" s="492"/>
      <c r="F34" s="492"/>
      <c r="G34" s="492"/>
      <c r="H34" s="492"/>
      <c r="I34" s="899">
        <f>'1.5'!L8/1000</f>
        <v>9.8058076225045365E-2</v>
      </c>
      <c r="J34" s="487">
        <f>'1.5'!G8</f>
        <v>32054.720000000001</v>
      </c>
      <c r="K34" s="893">
        <f t="shared" si="0"/>
        <v>1.2500599713755724E-3</v>
      </c>
      <c r="L34" s="487">
        <f>'1.5'!H8</f>
        <v>277602.01831181312</v>
      </c>
      <c r="M34" s="893">
        <f t="shared" si="1"/>
        <v>2.1476792296660657E-3</v>
      </c>
      <c r="N34" s="487">
        <f>'1.5'!I8</f>
        <v>1255244.7367305805</v>
      </c>
      <c r="O34" s="893">
        <f t="shared" si="2"/>
        <v>2.8102384224882528E-3</v>
      </c>
      <c r="P34" s="487">
        <f>'1.5'!J8</f>
        <v>2404103.9999972624</v>
      </c>
      <c r="Q34" s="895">
        <f t="shared" si="3"/>
        <v>2.9114670895623979E-3</v>
      </c>
      <c r="R34" s="88"/>
      <c r="S34" s="891" t="s">
        <v>40</v>
      </c>
      <c r="T34" s="613">
        <f t="shared" si="4"/>
        <v>277602.01831181312</v>
      </c>
      <c r="U34" s="613">
        <f t="shared" ref="U34:X34" si="35">T34</f>
        <v>277602.01831181312</v>
      </c>
      <c r="V34" s="613">
        <f t="shared" si="35"/>
        <v>277602.01831181312</v>
      </c>
      <c r="W34" s="613">
        <f t="shared" si="35"/>
        <v>277602.01831181312</v>
      </c>
      <c r="X34" s="958">
        <f t="shared" si="35"/>
        <v>277602.01831181312</v>
      </c>
    </row>
    <row r="35" spans="1:24" outlineLevel="1" x14ac:dyDescent="0.3">
      <c r="A35" s="891" t="s">
        <v>42</v>
      </c>
      <c r="B35" s="492"/>
      <c r="C35" s="492"/>
      <c r="D35" s="492" t="str">
        <f>'1.5'!E9</f>
        <v>Flex Coupling</v>
      </c>
      <c r="E35" s="492"/>
      <c r="F35" s="492"/>
      <c r="G35" s="492"/>
      <c r="H35" s="492"/>
      <c r="I35" s="899">
        <f>'1.5'!L9/1000</f>
        <v>7.7132486388384755E-2</v>
      </c>
      <c r="J35" s="487">
        <f>'1.5'!G9</f>
        <v>1400</v>
      </c>
      <c r="K35" s="893">
        <f t="shared" si="0"/>
        <v>5.4596763282468267E-5</v>
      </c>
      <c r="L35" s="487">
        <f>'1.5'!H9</f>
        <v>11806.670801637722</v>
      </c>
      <c r="M35" s="893">
        <f t="shared" si="1"/>
        <v>9.1342785641062061E-5</v>
      </c>
      <c r="N35" s="487">
        <f>'1.5'!I9</f>
        <v>52405.065946708557</v>
      </c>
      <c r="O35" s="893">
        <f t="shared" si="2"/>
        <v>1.1732431576654407E-4</v>
      </c>
      <c r="P35" s="487">
        <f>'1.5'!J9</f>
        <v>99569.62529874625</v>
      </c>
      <c r="Q35" s="895">
        <f t="shared" si="3"/>
        <v>1.2058283966820461E-4</v>
      </c>
      <c r="R35" s="88"/>
      <c r="S35" s="891" t="s">
        <v>42</v>
      </c>
      <c r="T35" s="613">
        <f t="shared" si="4"/>
        <v>11806.670801637722</v>
      </c>
      <c r="U35" s="613">
        <f t="shared" ref="U35:X35" si="36">T35</f>
        <v>11806.670801637722</v>
      </c>
      <c r="V35" s="613">
        <f t="shared" si="36"/>
        <v>11806.670801637722</v>
      </c>
      <c r="W35" s="613">
        <f t="shared" si="36"/>
        <v>11806.670801637722</v>
      </c>
      <c r="X35" s="958">
        <f t="shared" si="36"/>
        <v>11806.670801637722</v>
      </c>
    </row>
    <row r="36" spans="1:24" outlineLevel="1" x14ac:dyDescent="0.3">
      <c r="A36" s="891" t="s">
        <v>44</v>
      </c>
      <c r="B36" s="492"/>
      <c r="C36" s="492"/>
      <c r="D36" s="492" t="str">
        <f>'1.5'!E10</f>
        <v>Generator</v>
      </c>
      <c r="E36" s="492"/>
      <c r="F36" s="492"/>
      <c r="G36" s="492"/>
      <c r="H36" s="492"/>
      <c r="I36" s="899">
        <f>'1.5'!L10/1000</f>
        <v>1.1274954627949183</v>
      </c>
      <c r="J36" s="487">
        <f>'1.5'!G10</f>
        <v>35000</v>
      </c>
      <c r="K36" s="893">
        <f t="shared" si="0"/>
        <v>1.3649190820617069E-3</v>
      </c>
      <c r="L36" s="487">
        <f>'1.5'!H10</f>
        <v>308798.90206495952</v>
      </c>
      <c r="M36" s="893">
        <f t="shared" si="1"/>
        <v>2.3890351811623593E-3</v>
      </c>
      <c r="N36" s="487">
        <f>'1.5'!I10</f>
        <v>1414578.8742994284</v>
      </c>
      <c r="O36" s="893">
        <f t="shared" si="2"/>
        <v>3.1669552461542597E-3</v>
      </c>
      <c r="P36" s="487">
        <f>'1.5'!J10</f>
        <v>2724478.9119006987</v>
      </c>
      <c r="Q36" s="895">
        <f t="shared" si="3"/>
        <v>3.2994540536576992E-3</v>
      </c>
      <c r="R36" s="88"/>
      <c r="S36" s="891" t="s">
        <v>44</v>
      </c>
      <c r="T36" s="613">
        <f t="shared" si="4"/>
        <v>308798.90206495952</v>
      </c>
      <c r="U36" s="613">
        <f t="shared" ref="U36:X36" si="37">T36</f>
        <v>308798.90206495952</v>
      </c>
      <c r="V36" s="613">
        <f t="shared" si="37"/>
        <v>308798.90206495952</v>
      </c>
      <c r="W36" s="613">
        <f t="shared" si="37"/>
        <v>308798.90206495952</v>
      </c>
      <c r="X36" s="958">
        <f t="shared" si="37"/>
        <v>308798.90206495952</v>
      </c>
    </row>
    <row r="37" spans="1:24" outlineLevel="1" x14ac:dyDescent="0.3">
      <c r="A37" s="891" t="s">
        <v>46</v>
      </c>
      <c r="B37" s="492"/>
      <c r="C37" s="492"/>
      <c r="D37" s="492" t="str">
        <f>'1.5'!E11</f>
        <v>Power Electronics</v>
      </c>
      <c r="E37" s="492"/>
      <c r="F37" s="492"/>
      <c r="G37" s="492"/>
      <c r="H37" s="492"/>
      <c r="I37" s="899">
        <f>'1.5'!L11/1000</f>
        <v>0.95281306715063507</v>
      </c>
      <c r="J37" s="487">
        <f>'1.5'!G11</f>
        <v>40000</v>
      </c>
      <c r="K37" s="893">
        <f t="shared" si="0"/>
        <v>1.5599075223562363E-3</v>
      </c>
      <c r="L37" s="487">
        <f>'1.5'!H11</f>
        <v>189025.60767161063</v>
      </c>
      <c r="M37" s="893">
        <f t="shared" si="1"/>
        <v>1.4624042503009751E-3</v>
      </c>
      <c r="N37" s="487">
        <f>'1.5'!I11</f>
        <v>559691.10832740704</v>
      </c>
      <c r="O37" s="893">
        <f t="shared" si="2"/>
        <v>1.2530348953650352E-3</v>
      </c>
      <c r="P37" s="487">
        <f>'1.5'!J11</f>
        <v>893267.00889054174</v>
      </c>
      <c r="Q37" s="895">
        <f t="shared" si="3"/>
        <v>1.0817824430971437E-3</v>
      </c>
      <c r="R37" s="88"/>
      <c r="S37" s="891" t="s">
        <v>46</v>
      </c>
      <c r="T37" s="613">
        <f t="shared" si="4"/>
        <v>189025.60767161063</v>
      </c>
      <c r="U37" s="613">
        <f t="shared" ref="U37:X37" si="38">T37</f>
        <v>189025.60767161063</v>
      </c>
      <c r="V37" s="613">
        <f t="shared" si="38"/>
        <v>189025.60767161063</v>
      </c>
      <c r="W37" s="613">
        <f t="shared" si="38"/>
        <v>189025.60767161063</v>
      </c>
      <c r="X37" s="958">
        <f t="shared" si="38"/>
        <v>189025.60767161063</v>
      </c>
    </row>
    <row r="38" spans="1:24" outlineLevel="1" x14ac:dyDescent="0.3">
      <c r="A38" s="900" t="s">
        <v>61</v>
      </c>
      <c r="B38" s="78"/>
      <c r="C38" s="78"/>
      <c r="D38" s="78" t="str">
        <f>'1.5'!E12</f>
        <v>Mechanical Face Seal</v>
      </c>
      <c r="E38" s="78"/>
      <c r="F38" s="78"/>
      <c r="G38" s="78"/>
      <c r="H38" s="78"/>
      <c r="I38" s="924">
        <f>'1.5'!L12/1000</f>
        <v>0</v>
      </c>
      <c r="J38" s="523">
        <f>'1.5'!G12</f>
        <v>12000</v>
      </c>
      <c r="K38" s="901">
        <f t="shared" si="0"/>
        <v>4.6797225670687086E-4</v>
      </c>
      <c r="L38" s="523">
        <f>'1.5'!H12</f>
        <v>107341.84133204038</v>
      </c>
      <c r="M38" s="901">
        <f t="shared" si="1"/>
        <v>8.3045449202745676E-4</v>
      </c>
      <c r="N38" s="523">
        <f>'1.5'!I12</f>
        <v>496478.40833130537</v>
      </c>
      <c r="O38" s="901">
        <f t="shared" si="2"/>
        <v>1.1115144785728824E-3</v>
      </c>
      <c r="P38" s="523">
        <f>'1.5'!J12</f>
        <v>960189.24171274446</v>
      </c>
      <c r="Q38" s="902">
        <f t="shared" si="3"/>
        <v>1.1628279712532043E-3</v>
      </c>
      <c r="R38" s="88"/>
      <c r="S38" s="900" t="s">
        <v>61</v>
      </c>
      <c r="T38" s="613">
        <f t="shared" si="4"/>
        <v>107341.84133204038</v>
      </c>
      <c r="U38" s="613">
        <f t="shared" ref="U38:X38" si="39">T38</f>
        <v>107341.84133204038</v>
      </c>
      <c r="V38" s="613">
        <f t="shared" si="39"/>
        <v>107341.84133204038</v>
      </c>
      <c r="W38" s="613">
        <f t="shared" si="39"/>
        <v>107341.84133204038</v>
      </c>
      <c r="X38" s="958">
        <f t="shared" si="39"/>
        <v>107341.84133204038</v>
      </c>
    </row>
    <row r="39" spans="1:24" s="611" customFormat="1" x14ac:dyDescent="0.3">
      <c r="A39" s="927">
        <v>1.6</v>
      </c>
      <c r="B39" s="928"/>
      <c r="C39" s="928" t="s">
        <v>72</v>
      </c>
      <c r="D39" s="928"/>
      <c r="E39" s="928"/>
      <c r="F39" s="928"/>
      <c r="G39" s="928"/>
      <c r="H39" s="928"/>
      <c r="I39" s="928"/>
      <c r="J39" s="935">
        <f>'1.6'!E7</f>
        <v>931972.79120071721</v>
      </c>
      <c r="K39" s="930">
        <f t="shared" si="0"/>
        <v>3.6344784190633417E-2</v>
      </c>
      <c r="L39" s="935">
        <f>'1.6'!F7</f>
        <v>6376589.9203469912</v>
      </c>
      <c r="M39" s="930">
        <f t="shared" si="1"/>
        <v>4.9332745530130215E-2</v>
      </c>
      <c r="N39" s="935">
        <f>'1.6'!G7</f>
        <v>27343356.477592673</v>
      </c>
      <c r="O39" s="930">
        <f t="shared" si="2"/>
        <v>6.1216230368960178E-2</v>
      </c>
      <c r="P39" s="935">
        <f>'1.6'!H7</f>
        <v>52367487.106201112</v>
      </c>
      <c r="Q39" s="931">
        <f t="shared" si="3"/>
        <v>6.3419142962601191E-2</v>
      </c>
      <c r="S39" s="927">
        <v>1.6</v>
      </c>
      <c r="T39" s="929">
        <f t="shared" si="4"/>
        <v>6376589.9203469912</v>
      </c>
      <c r="U39" s="929">
        <f t="shared" ref="U39:X39" si="40">T39</f>
        <v>6376589.9203469912</v>
      </c>
      <c r="V39" s="929">
        <f t="shared" si="40"/>
        <v>6376589.9203469912</v>
      </c>
      <c r="W39" s="929">
        <f t="shared" si="40"/>
        <v>6376589.9203469912</v>
      </c>
      <c r="X39" s="957">
        <f t="shared" si="40"/>
        <v>6376589.9203469912</v>
      </c>
    </row>
    <row r="40" spans="1:24" s="611" customFormat="1" x14ac:dyDescent="0.3">
      <c r="A40" s="927">
        <v>1.7</v>
      </c>
      <c r="B40" s="928"/>
      <c r="C40" s="928" t="s">
        <v>47</v>
      </c>
      <c r="D40" s="928"/>
      <c r="E40" s="928"/>
      <c r="F40" s="928"/>
      <c r="G40" s="928"/>
      <c r="H40" s="928"/>
      <c r="I40" s="928"/>
      <c r="J40" s="929">
        <f>SUM(J41:J46)</f>
        <v>5908522.3300000001</v>
      </c>
      <c r="K40" s="930">
        <f t="shared" si="0"/>
        <v>0.23041871071441991</v>
      </c>
      <c r="L40" s="929">
        <f>SUM(L41:L46)</f>
        <v>9081973.1555555556</v>
      </c>
      <c r="M40" s="930">
        <f t="shared" si="1"/>
        <v>7.0263052225587569E-2</v>
      </c>
      <c r="N40" s="929">
        <f>SUM(N41:N46)</f>
        <v>21531225.377777778</v>
      </c>
      <c r="O40" s="930">
        <f t="shared" si="2"/>
        <v>4.8204047441365507E-2</v>
      </c>
      <c r="P40" s="929">
        <f>SUM(P41:P46)</f>
        <v>37859590.655555554</v>
      </c>
      <c r="Q40" s="931">
        <f t="shared" si="3"/>
        <v>4.5849494122583552E-2</v>
      </c>
      <c r="S40" s="927">
        <v>1.7</v>
      </c>
      <c r="T40" s="929">
        <f t="shared" si="4"/>
        <v>9081973.1555555556</v>
      </c>
      <c r="U40" s="929">
        <f t="shared" ref="U40:X40" si="41">T40</f>
        <v>9081973.1555555556</v>
      </c>
      <c r="V40" s="929">
        <f t="shared" si="41"/>
        <v>9081973.1555555556</v>
      </c>
      <c r="W40" s="929">
        <f t="shared" si="41"/>
        <v>9081973.1555555556</v>
      </c>
      <c r="X40" s="957">
        <f t="shared" si="41"/>
        <v>9081973.1555555556</v>
      </c>
    </row>
    <row r="41" spans="1:24" outlineLevel="1" x14ac:dyDescent="0.3">
      <c r="A41" s="903" t="s">
        <v>73</v>
      </c>
      <c r="B41" s="904"/>
      <c r="C41" s="904"/>
      <c r="D41" s="904" t="str">
        <f>'1.7 (RM3)'!D5</f>
        <v>Transport to Staging Site</v>
      </c>
      <c r="E41" s="904"/>
      <c r="F41" s="904"/>
      <c r="G41" s="904"/>
      <c r="H41" s="904"/>
      <c r="I41" s="904"/>
      <c r="J41" s="905">
        <f>'1.7 (RM3)'!F5</f>
        <v>29750</v>
      </c>
      <c r="K41" s="906">
        <f t="shared" si="0"/>
        <v>1.1601812197524508E-3</v>
      </c>
      <c r="L41" s="905">
        <f>'1.7 (RM3)'!G5</f>
        <v>297500</v>
      </c>
      <c r="M41" s="906">
        <f t="shared" si="1"/>
        <v>2.3016207688662371E-3</v>
      </c>
      <c r="N41" s="905">
        <f>'1.7 (RM3)'!H5</f>
        <v>1487500</v>
      </c>
      <c r="O41" s="906">
        <f t="shared" si="2"/>
        <v>3.3302108593891676E-3</v>
      </c>
      <c r="P41" s="905">
        <f>'1.7 (RM3)'!I5</f>
        <v>2975000</v>
      </c>
      <c r="Q41" s="908">
        <f t="shared" si="3"/>
        <v>3.6028452144574435E-3</v>
      </c>
      <c r="S41" s="903" t="s">
        <v>73</v>
      </c>
      <c r="T41" s="613">
        <f t="shared" si="4"/>
        <v>297500</v>
      </c>
      <c r="U41" s="613">
        <f t="shared" ref="U41:X41" si="42">T41</f>
        <v>297500</v>
      </c>
      <c r="V41" s="613">
        <f t="shared" si="42"/>
        <v>297500</v>
      </c>
      <c r="W41" s="613">
        <f t="shared" si="42"/>
        <v>297500</v>
      </c>
      <c r="X41" s="958">
        <f t="shared" si="42"/>
        <v>297500</v>
      </c>
    </row>
    <row r="42" spans="1:24" outlineLevel="1" x14ac:dyDescent="0.3">
      <c r="A42" s="891" t="s">
        <v>74</v>
      </c>
      <c r="B42" s="492"/>
      <c r="C42" s="492"/>
      <c r="D42" s="492" t="str">
        <f>'1.7 (RM3)'!D6</f>
        <v>Cable Shore Landing</v>
      </c>
      <c r="E42" s="492"/>
      <c r="F42" s="492"/>
      <c r="G42" s="492"/>
      <c r="H42" s="492"/>
      <c r="I42" s="492"/>
      <c r="J42" s="487">
        <f>'1.7 (RM3)'!F6</f>
        <v>667000</v>
      </c>
      <c r="K42" s="893">
        <f t="shared" si="0"/>
        <v>2.6011457935290239E-2</v>
      </c>
      <c r="L42" s="487">
        <f>'1.7 (RM3)'!G6</f>
        <v>767200</v>
      </c>
      <c r="M42" s="893">
        <f t="shared" si="1"/>
        <v>5.9354737945350481E-3</v>
      </c>
      <c r="N42" s="487">
        <f>'1.7 (RM3)'!H6</f>
        <v>767200</v>
      </c>
      <c r="O42" s="893">
        <f t="shared" si="2"/>
        <v>1.717605224419072E-3</v>
      </c>
      <c r="P42" s="487">
        <f>'1.7 (RM3)'!I6</f>
        <v>1534000</v>
      </c>
      <c r="Q42" s="895">
        <f t="shared" si="3"/>
        <v>1.8577359862109977E-3</v>
      </c>
      <c r="S42" s="891" t="s">
        <v>74</v>
      </c>
      <c r="T42" s="613">
        <f t="shared" si="4"/>
        <v>767200</v>
      </c>
      <c r="U42" s="613">
        <f t="shared" ref="U42:X42" si="43">T42</f>
        <v>767200</v>
      </c>
      <c r="V42" s="613">
        <f t="shared" si="43"/>
        <v>767200</v>
      </c>
      <c r="W42" s="613">
        <f t="shared" si="43"/>
        <v>767200</v>
      </c>
      <c r="X42" s="958">
        <f t="shared" si="43"/>
        <v>767200</v>
      </c>
    </row>
    <row r="43" spans="1:24" outlineLevel="1" x14ac:dyDescent="0.3">
      <c r="A43" s="891" t="s">
        <v>75</v>
      </c>
      <c r="B43" s="492"/>
      <c r="C43" s="492"/>
      <c r="D43" s="492" t="str">
        <f>'1.7 (RM3)'!D7</f>
        <v>Mooring/Foundation System</v>
      </c>
      <c r="E43" s="492"/>
      <c r="F43" s="492"/>
      <c r="G43" s="492"/>
      <c r="H43" s="492"/>
      <c r="I43" s="492"/>
      <c r="J43" s="487">
        <f>'1.7 (RM3)'!F7</f>
        <v>3193833.5500000003</v>
      </c>
      <c r="K43" s="893">
        <f t="shared" si="0"/>
        <v>0.12455212449496807</v>
      </c>
      <c r="L43" s="487">
        <f>'1.7 (RM3)'!G7</f>
        <v>3904558.5555555555</v>
      </c>
      <c r="M43" s="893">
        <f t="shared" si="1"/>
        <v>3.0207775007465618E-2</v>
      </c>
      <c r="N43" s="487">
        <f>'1.7 (RM3)'!H7</f>
        <v>7063960.777777778</v>
      </c>
      <c r="O43" s="893">
        <f t="shared" si="2"/>
        <v>1.5814775726019973E-2</v>
      </c>
      <c r="P43" s="487">
        <f>'1.7 (RM3)'!I7</f>
        <v>11013213.555555556</v>
      </c>
      <c r="Q43" s="895">
        <f t="shared" si="3"/>
        <v>1.3337446640144935E-2</v>
      </c>
      <c r="S43" s="891" t="s">
        <v>75</v>
      </c>
      <c r="T43" s="613">
        <f t="shared" si="4"/>
        <v>3904558.5555555555</v>
      </c>
      <c r="U43" s="613">
        <f t="shared" ref="U43:X43" si="44">T43</f>
        <v>3904558.5555555555</v>
      </c>
      <c r="V43" s="613">
        <f t="shared" si="44"/>
        <v>3904558.5555555555</v>
      </c>
      <c r="W43" s="613">
        <f t="shared" si="44"/>
        <v>3904558.5555555555</v>
      </c>
      <c r="X43" s="958">
        <f t="shared" si="44"/>
        <v>3904558.5555555555</v>
      </c>
    </row>
    <row r="44" spans="1:24" outlineLevel="1" x14ac:dyDescent="0.3">
      <c r="A44" s="891" t="s">
        <v>76</v>
      </c>
      <c r="B44" s="492"/>
      <c r="C44" s="492"/>
      <c r="D44" s="492" t="str">
        <f>'1.7 (RM3)'!D8</f>
        <v>Cable Installation</v>
      </c>
      <c r="E44" s="492"/>
      <c r="F44" s="492"/>
      <c r="G44" s="492"/>
      <c r="H44" s="492"/>
      <c r="I44" s="492"/>
      <c r="J44" s="487">
        <f>'1.7 (RM3)'!F8</f>
        <v>1507533.78</v>
      </c>
      <c r="K44" s="893">
        <f t="shared" si="0"/>
        <v>5.8790332090703286E-2</v>
      </c>
      <c r="L44" s="487">
        <f>'1.7 (RM3)'!G8</f>
        <v>2280164.6</v>
      </c>
      <c r="M44" s="893">
        <f t="shared" si="1"/>
        <v>1.7640585545524626E-2</v>
      </c>
      <c r="N44" s="487">
        <f>'1.7 (RM3)'!H8</f>
        <v>4503814.5999999996</v>
      </c>
      <c r="O44" s="893">
        <f t="shared" si="2"/>
        <v>1.008312758964402E-2</v>
      </c>
      <c r="P44" s="487">
        <f>'1.7 (RM3)'!I8</f>
        <v>7283377.0999999996</v>
      </c>
      <c r="Q44" s="895">
        <f t="shared" si="3"/>
        <v>8.8204639764114055E-3</v>
      </c>
      <c r="S44" s="891" t="s">
        <v>76</v>
      </c>
      <c r="T44" s="613">
        <f t="shared" si="4"/>
        <v>2280164.6</v>
      </c>
      <c r="U44" s="613">
        <f t="shared" ref="U44:X44" si="45">T44</f>
        <v>2280164.6</v>
      </c>
      <c r="V44" s="613">
        <f t="shared" si="45"/>
        <v>2280164.6</v>
      </c>
      <c r="W44" s="613">
        <f t="shared" si="45"/>
        <v>2280164.6</v>
      </c>
      <c r="X44" s="958">
        <f t="shared" si="45"/>
        <v>2280164.6</v>
      </c>
    </row>
    <row r="45" spans="1:24" outlineLevel="1" x14ac:dyDescent="0.3">
      <c r="A45" s="891" t="s">
        <v>77</v>
      </c>
      <c r="B45" s="492"/>
      <c r="C45" s="492"/>
      <c r="D45" s="492" t="str">
        <f>'1.7 (RM3)'!D9</f>
        <v>Device Installation</v>
      </c>
      <c r="E45" s="492"/>
      <c r="F45" s="492"/>
      <c r="G45" s="492"/>
      <c r="H45" s="492"/>
      <c r="I45" s="492"/>
      <c r="J45" s="487">
        <f>'1.7 (RM3)'!F9</f>
        <v>255202.5</v>
      </c>
      <c r="K45" s="893">
        <f t="shared" si="0"/>
        <v>9.9523074868529352E-3</v>
      </c>
      <c r="L45" s="487">
        <f>'1.7 (RM3)'!G9</f>
        <v>916275</v>
      </c>
      <c r="M45" s="893">
        <f t="shared" si="1"/>
        <v>7.0887985545980206E-3</v>
      </c>
      <c r="N45" s="487">
        <f>'1.7 (RM3)'!H9</f>
        <v>3854375</v>
      </c>
      <c r="O45" s="893">
        <f t="shared" si="2"/>
        <v>8.6291640209466385E-3</v>
      </c>
      <c r="P45" s="487">
        <f>'1.7 (RM3)'!I9</f>
        <v>7527000</v>
      </c>
      <c r="Q45" s="895">
        <f t="shared" si="3"/>
        <v>9.1155011526793863E-3</v>
      </c>
      <c r="S45" s="891" t="s">
        <v>77</v>
      </c>
      <c r="T45" s="613">
        <f t="shared" si="4"/>
        <v>916275</v>
      </c>
      <c r="U45" s="613">
        <f t="shared" ref="U45:X45" si="46">T45</f>
        <v>916275</v>
      </c>
      <c r="V45" s="613">
        <f t="shared" si="46"/>
        <v>916275</v>
      </c>
      <c r="W45" s="613">
        <f t="shared" si="46"/>
        <v>916275</v>
      </c>
      <c r="X45" s="958">
        <f t="shared" si="46"/>
        <v>916275</v>
      </c>
    </row>
    <row r="46" spans="1:24" outlineLevel="1" x14ac:dyDescent="0.3">
      <c r="A46" s="900" t="s">
        <v>78</v>
      </c>
      <c r="B46" s="78"/>
      <c r="C46" s="78"/>
      <c r="D46" s="78" t="str">
        <f>'1.7 (RM3)'!D10</f>
        <v>Device Comissioning</v>
      </c>
      <c r="E46" s="78"/>
      <c r="F46" s="78"/>
      <c r="G46" s="78"/>
      <c r="H46" s="78"/>
      <c r="I46" s="78"/>
      <c r="J46" s="523">
        <f>'1.7 (RM3)'!F10</f>
        <v>255202.5</v>
      </c>
      <c r="K46" s="901">
        <f t="shared" si="0"/>
        <v>9.9523074868529352E-3</v>
      </c>
      <c r="L46" s="523">
        <f>'1.7 (RM3)'!G10</f>
        <v>916275</v>
      </c>
      <c r="M46" s="901">
        <f t="shared" si="1"/>
        <v>7.0887985545980206E-3</v>
      </c>
      <c r="N46" s="523">
        <f>'1.7 (RM3)'!H10</f>
        <v>3854375</v>
      </c>
      <c r="O46" s="901">
        <f t="shared" si="2"/>
        <v>8.6291640209466385E-3</v>
      </c>
      <c r="P46" s="523">
        <f>'1.7 (RM3)'!I10</f>
        <v>7527000</v>
      </c>
      <c r="Q46" s="902">
        <f t="shared" si="3"/>
        <v>9.1155011526793863E-3</v>
      </c>
      <c r="S46" s="900" t="s">
        <v>78</v>
      </c>
      <c r="T46" s="613">
        <f t="shared" si="4"/>
        <v>916275</v>
      </c>
      <c r="U46" s="613">
        <f t="shared" ref="U46:X46" si="47">T46</f>
        <v>916275</v>
      </c>
      <c r="V46" s="613">
        <f t="shared" si="47"/>
        <v>916275</v>
      </c>
      <c r="W46" s="613">
        <f t="shared" si="47"/>
        <v>916275</v>
      </c>
      <c r="X46" s="958">
        <f t="shared" si="47"/>
        <v>916275</v>
      </c>
    </row>
    <row r="47" spans="1:24" s="77" customFormat="1" x14ac:dyDescent="0.3">
      <c r="A47" s="936">
        <v>1.8</v>
      </c>
      <c r="B47" s="937"/>
      <c r="C47" s="938" t="s">
        <v>145</v>
      </c>
      <c r="D47" s="937"/>
      <c r="E47" s="937"/>
      <c r="F47" s="937"/>
      <c r="G47" s="937"/>
      <c r="H47" s="937"/>
      <c r="I47" s="937"/>
      <c r="J47" s="939">
        <f>J40</f>
        <v>5908522.3300000001</v>
      </c>
      <c r="K47" s="940">
        <f>10%*(K40+K39+K29+K24+K18+K12+K5)</f>
        <v>8.5823675723189649E-2</v>
      </c>
      <c r="L47" s="939">
        <f>L40</f>
        <v>9081973.1555555556</v>
      </c>
      <c r="M47" s="940">
        <f>10%*(M40+M39+M29+M24+M18+M12+M5)</f>
        <v>8.8033751829153767E-2</v>
      </c>
      <c r="N47" s="939">
        <f>N40</f>
        <v>21531225.377777778</v>
      </c>
      <c r="O47" s="940">
        <f>10%*(O40+O39+O29+O24+O18+O12+O5)</f>
        <v>8.9060725419969955E-2</v>
      </c>
      <c r="P47" s="939">
        <f>P40</f>
        <v>37859590.655555554</v>
      </c>
      <c r="Q47" s="941">
        <f>10%*(Q40+Q39+Q29+Q24+Q18+Q12+Q5)</f>
        <v>8.9973388924741826E-2</v>
      </c>
      <c r="R47" s="80"/>
      <c r="S47" s="936">
        <v>1.8</v>
      </c>
      <c r="T47" s="929">
        <f t="shared" si="4"/>
        <v>9081973.1555555556</v>
      </c>
      <c r="U47" s="929">
        <f t="shared" ref="U47:X47" si="48">T47</f>
        <v>9081973.1555555556</v>
      </c>
      <c r="V47" s="929">
        <f t="shared" si="48"/>
        <v>9081973.1555555556</v>
      </c>
      <c r="W47" s="929">
        <f t="shared" si="48"/>
        <v>9081973.1555555556</v>
      </c>
      <c r="X47" s="957">
        <f t="shared" si="48"/>
        <v>9081973.1555555556</v>
      </c>
    </row>
    <row r="48" spans="1:24" s="80" customFormat="1" x14ac:dyDescent="0.3">
      <c r="A48" s="942">
        <v>1.9</v>
      </c>
      <c r="B48" s="928"/>
      <c r="C48" s="928" t="s">
        <v>143</v>
      </c>
      <c r="D48" s="928"/>
      <c r="E48" s="928"/>
      <c r="F48" s="928"/>
      <c r="G48" s="928"/>
      <c r="H48" s="928"/>
      <c r="I48" s="928"/>
      <c r="J48" s="943">
        <f t="shared" ref="J48:Q48" si="49">10%*(J40+J39+J29+J24+J18+J12+J4)</f>
        <v>2331140.5222733454</v>
      </c>
      <c r="K48" s="944">
        <f t="shared" si="49"/>
        <v>9.0909090909090939E-2</v>
      </c>
      <c r="L48" s="943">
        <f t="shared" si="49"/>
        <v>11750612.833919184</v>
      </c>
      <c r="M48" s="944">
        <f t="shared" si="49"/>
        <v>9.0909090909090898E-2</v>
      </c>
      <c r="N48" s="943">
        <f t="shared" si="49"/>
        <v>40606219.376774341</v>
      </c>
      <c r="O48" s="944">
        <f t="shared" si="49"/>
        <v>9.0909090909090939E-2</v>
      </c>
      <c r="P48" s="943">
        <f t="shared" si="49"/>
        <v>75066934.424290419</v>
      </c>
      <c r="Q48" s="945">
        <f t="shared" si="49"/>
        <v>9.0909090909090925E-2</v>
      </c>
      <c r="S48" s="942">
        <v>1.9</v>
      </c>
      <c r="T48" s="929">
        <f t="shared" si="4"/>
        <v>11750612.833919184</v>
      </c>
      <c r="U48" s="929">
        <f t="shared" ref="U48:X48" si="50">T48</f>
        <v>11750612.833919184</v>
      </c>
      <c r="V48" s="929">
        <f t="shared" si="50"/>
        <v>11750612.833919184</v>
      </c>
      <c r="W48" s="929">
        <f t="shared" si="50"/>
        <v>11750612.833919184</v>
      </c>
      <c r="X48" s="957">
        <f t="shared" si="50"/>
        <v>11750612.833919184</v>
      </c>
    </row>
    <row r="49" spans="1:24" outlineLevel="1" x14ac:dyDescent="0.3">
      <c r="A49" s="422"/>
      <c r="B49" s="491"/>
      <c r="C49" s="491"/>
      <c r="D49" s="491"/>
      <c r="E49" s="491"/>
      <c r="F49" s="491"/>
      <c r="G49" s="491"/>
      <c r="H49" s="491"/>
      <c r="I49" s="491"/>
      <c r="J49" s="491"/>
      <c r="K49" s="77"/>
      <c r="L49" s="491"/>
      <c r="M49" s="77"/>
      <c r="N49" s="491"/>
      <c r="O49" s="77"/>
      <c r="P49" s="491"/>
      <c r="Q49" s="491"/>
      <c r="S49" s="422"/>
    </row>
    <row r="50" spans="1:24" outlineLevel="1" x14ac:dyDescent="0.3">
      <c r="A50" s="789" t="s">
        <v>457</v>
      </c>
      <c r="B50" s="790"/>
      <c r="C50" s="790"/>
      <c r="D50" s="790"/>
      <c r="E50" s="790"/>
      <c r="F50" s="790"/>
      <c r="G50" s="790"/>
      <c r="H50" s="790"/>
      <c r="I50" s="607">
        <f>I29+I24</f>
        <v>1856.3795609001259</v>
      </c>
      <c r="J50" s="615">
        <f>J48+J40+J39+J29+J24+J18+J12+J4</f>
        <v>25642545.745006796</v>
      </c>
      <c r="K50" s="606">
        <f>K47+K40+K39+K29+K24+K18+K12+K4</f>
        <v>0.99491458481409889</v>
      </c>
      <c r="L50" s="615">
        <f>L48+L40+L39+L29+L24+L18+L12+L4</f>
        <v>129256741.17311104</v>
      </c>
      <c r="M50" s="606">
        <f>M47+M40+M39+M29+M24+M18+M12+M4</f>
        <v>0.9971246609200628</v>
      </c>
      <c r="N50" s="615">
        <f>N48+N40+N39+N29+N24+N18+N12+N4</f>
        <v>446668413.14451766</v>
      </c>
      <c r="O50" s="606">
        <f>O47+O40+O39+O29+O24+O18+O12+O4</f>
        <v>0.99815163451087907</v>
      </c>
      <c r="P50" s="615">
        <f>P48+P40+P39+P29+P24+P18+P12+P4</f>
        <v>825736278.6671946</v>
      </c>
      <c r="Q50" s="606">
        <f>Q47+Q40+Q39+Q29+Q24+Q18+Q12+Q4</f>
        <v>0.999064298015651</v>
      </c>
      <c r="S50" s="789" t="s">
        <v>457</v>
      </c>
      <c r="T50" s="961">
        <f>SUM(T4,T12,T18,T24,T29,T39,T40,T48)</f>
        <v>129256741.17311102</v>
      </c>
      <c r="U50" s="961">
        <f t="shared" ref="U50:X50" si="51">SUM(U4,U12,U18,U24,U29,U39,U40,U48)</f>
        <v>107650130.86758137</v>
      </c>
      <c r="V50" s="961">
        <f t="shared" si="51"/>
        <v>118453436.02034621</v>
      </c>
      <c r="W50" s="961">
        <f t="shared" si="51"/>
        <v>140060046.32587585</v>
      </c>
      <c r="X50" s="961">
        <f t="shared" si="51"/>
        <v>150863351.47864068</v>
      </c>
    </row>
    <row r="51" spans="1:24" outlineLevel="1" x14ac:dyDescent="0.3">
      <c r="A51" s="422"/>
      <c r="B51" s="491"/>
      <c r="C51" s="491"/>
      <c r="D51" s="491"/>
      <c r="E51" s="491"/>
      <c r="F51" s="491"/>
      <c r="G51" s="491"/>
      <c r="H51" s="491"/>
      <c r="I51" s="491"/>
      <c r="J51" s="379"/>
      <c r="K51" s="84"/>
      <c r="L51" s="379"/>
      <c r="M51" s="84"/>
      <c r="N51" s="379"/>
      <c r="O51" s="84"/>
      <c r="P51" s="379"/>
      <c r="Q51" s="491"/>
      <c r="S51" s="422"/>
    </row>
    <row r="52" spans="1:24" s="611" customFormat="1" x14ac:dyDescent="0.3">
      <c r="A52" s="927">
        <v>2</v>
      </c>
      <c r="B52" s="928" t="s">
        <v>58</v>
      </c>
      <c r="C52" s="928"/>
      <c r="D52" s="928"/>
      <c r="E52" s="928"/>
      <c r="F52" s="928"/>
      <c r="G52" s="928"/>
      <c r="H52" s="928"/>
      <c r="I52" s="928"/>
      <c r="J52" s="929">
        <f>SUM(J53:J58)</f>
        <v>1558804.2398804501</v>
      </c>
      <c r="K52" s="946">
        <f>J52/$J$50</f>
        <v>6.0789761491757729E-2</v>
      </c>
      <c r="L52" s="929">
        <f>SUM(L53:L58)</f>
        <v>3932518.8936855793</v>
      </c>
      <c r="M52" s="946">
        <f>L52/$L$50</f>
        <v>3.0424091292993633E-2</v>
      </c>
      <c r="N52" s="929">
        <f>SUM(N53:N58)</f>
        <v>6149475.9960981784</v>
      </c>
      <c r="O52" s="946">
        <f>N52/$N$50</f>
        <v>1.3767429742359108E-2</v>
      </c>
      <c r="P52" s="929">
        <f>SUM(P53:P58)</f>
        <v>6891933.5217293547</v>
      </c>
      <c r="Q52" s="931">
        <f>P52/$P$50</f>
        <v>8.3464099855870381E-3</v>
      </c>
      <c r="S52" s="927">
        <v>2</v>
      </c>
      <c r="T52" s="929">
        <f>VLOOKUP(S52,$A$52:$Q$58,12,FALSE)</f>
        <v>3932518.8936855793</v>
      </c>
      <c r="U52" s="929">
        <f>T52</f>
        <v>3932518.8936855793</v>
      </c>
      <c r="V52" s="929">
        <f t="shared" ref="V52:X52" si="52">U52</f>
        <v>3932518.8936855793</v>
      </c>
      <c r="W52" s="929">
        <f t="shared" si="52"/>
        <v>3932518.8936855793</v>
      </c>
      <c r="X52" s="957">
        <f t="shared" si="52"/>
        <v>3932518.8936855793</v>
      </c>
    </row>
    <row r="53" spans="1:24" outlineLevel="1" x14ac:dyDescent="0.3">
      <c r="A53" s="891">
        <v>2.1</v>
      </c>
      <c r="B53" s="492"/>
      <c r="C53" s="492" t="s">
        <v>52</v>
      </c>
      <c r="D53" s="492"/>
      <c r="E53" s="492"/>
      <c r="F53" s="492"/>
      <c r="G53" s="492"/>
      <c r="H53" s="492"/>
      <c r="I53" s="492"/>
      <c r="J53" s="487">
        <f>'2.1'!E4</f>
        <v>362127.50614730391</v>
      </c>
      <c r="K53" s="863">
        <f t="shared" ref="K53:K58" si="53">J53/$J$50</f>
        <v>1.4122135522282088E-2</v>
      </c>
      <c r="L53" s="487">
        <f>'2.1'!F4</f>
        <v>1890321.1749357637</v>
      </c>
      <c r="M53" s="863">
        <f t="shared" ref="M53:M58" si="54">L53/$L$50</f>
        <v>1.4624546138016069E-2</v>
      </c>
      <c r="N53" s="487">
        <f>'2.1'!G4</f>
        <v>3746751.2896837573</v>
      </c>
      <c r="O53" s="863">
        <f t="shared" ref="O53:O58" si="55">N53/$N$50</f>
        <v>8.3882163578724162E-3</v>
      </c>
      <c r="P53" s="487">
        <f>'2.1'!H4</f>
        <v>3599059.5674896254</v>
      </c>
      <c r="Q53" s="895">
        <f t="shared" ref="Q53:Q58" si="56">P53/$P$50</f>
        <v>4.3586065678242938E-3</v>
      </c>
      <c r="R53" s="611"/>
      <c r="S53" s="891">
        <v>2.1</v>
      </c>
      <c r="T53" s="613">
        <f t="shared" ref="T53:T58" si="57">VLOOKUP(S53,$A$52:$Q$58,12,FALSE)</f>
        <v>1890321.1749357637</v>
      </c>
      <c r="U53" s="613">
        <f t="shared" ref="U53:X53" si="58">T53</f>
        <v>1890321.1749357637</v>
      </c>
      <c r="V53" s="613">
        <f t="shared" si="58"/>
        <v>1890321.1749357637</v>
      </c>
      <c r="W53" s="613">
        <f t="shared" si="58"/>
        <v>1890321.1749357637</v>
      </c>
      <c r="X53" s="958">
        <f t="shared" si="58"/>
        <v>1890321.1749357637</v>
      </c>
    </row>
    <row r="54" spans="1:24" outlineLevel="1" x14ac:dyDescent="0.3">
      <c r="A54" s="891">
        <v>2.2000000000000002</v>
      </c>
      <c r="B54" s="492"/>
      <c r="C54" s="492" t="s">
        <v>53</v>
      </c>
      <c r="D54" s="492"/>
      <c r="E54" s="492"/>
      <c r="F54" s="492"/>
      <c r="G54" s="492"/>
      <c r="H54" s="492"/>
      <c r="I54" s="492"/>
      <c r="J54" s="487">
        <f>'2.2'!E4</f>
        <v>855000</v>
      </c>
      <c r="K54" s="863">
        <f t="shared" si="53"/>
        <v>3.3343023290364551E-2</v>
      </c>
      <c r="L54" s="487">
        <f>'2.2'!F4</f>
        <v>1266000</v>
      </c>
      <c r="M54" s="863">
        <f t="shared" si="54"/>
        <v>9.7944601458307759E-3</v>
      </c>
      <c r="N54" s="487">
        <f>'2.2'!G4</f>
        <v>1266000</v>
      </c>
      <c r="O54" s="863">
        <f t="shared" si="55"/>
        <v>2.8343172759574364E-3</v>
      </c>
      <c r="P54" s="487">
        <f>'2.2'!H4</f>
        <v>1266000</v>
      </c>
      <c r="Q54" s="895">
        <f t="shared" si="56"/>
        <v>1.5331771568077726E-3</v>
      </c>
      <c r="R54" s="353"/>
      <c r="S54" s="891">
        <v>2.2000000000000002</v>
      </c>
      <c r="T54" s="613">
        <f t="shared" si="57"/>
        <v>1266000</v>
      </c>
      <c r="U54" s="613">
        <f t="shared" ref="U54:X54" si="59">T54</f>
        <v>1266000</v>
      </c>
      <c r="V54" s="613">
        <f t="shared" si="59"/>
        <v>1266000</v>
      </c>
      <c r="W54" s="613">
        <f t="shared" si="59"/>
        <v>1266000</v>
      </c>
      <c r="X54" s="958">
        <f t="shared" si="59"/>
        <v>1266000</v>
      </c>
    </row>
    <row r="55" spans="1:24" outlineLevel="1" x14ac:dyDescent="0.3">
      <c r="A55" s="891">
        <v>2.2999999999999998</v>
      </c>
      <c r="B55" s="492"/>
      <c r="C55" s="492" t="s">
        <v>54</v>
      </c>
      <c r="D55" s="492"/>
      <c r="E55" s="492"/>
      <c r="F55" s="492"/>
      <c r="G55" s="492"/>
      <c r="H55" s="492"/>
      <c r="I55" s="492"/>
      <c r="J55" s="487">
        <f>'2.3'!F5</f>
        <v>31356.666666666668</v>
      </c>
      <c r="K55" s="863">
        <f t="shared" si="53"/>
        <v>1.2228375052337596E-3</v>
      </c>
      <c r="L55" s="487">
        <f>'2.3'!G5</f>
        <v>313566.66666666669</v>
      </c>
      <c r="M55" s="863">
        <f t="shared" si="54"/>
        <v>2.4259211846190129E-3</v>
      </c>
      <c r="N55" s="487">
        <f>'2.3'!H5</f>
        <v>541966.66666666674</v>
      </c>
      <c r="O55" s="863">
        <f t="shared" si="55"/>
        <v>1.2133534647127953E-3</v>
      </c>
      <c r="P55" s="487">
        <f>'2.3'!I5</f>
        <v>1083933.3333333335</v>
      </c>
      <c r="Q55" s="895">
        <f t="shared" si="56"/>
        <v>1.3126870664843379E-3</v>
      </c>
      <c r="R55" s="134"/>
      <c r="S55" s="891">
        <v>2.2999999999999998</v>
      </c>
      <c r="T55" s="613">
        <f t="shared" si="57"/>
        <v>313566.66666666669</v>
      </c>
      <c r="U55" s="613">
        <f t="shared" ref="U55:X55" si="60">T55</f>
        <v>313566.66666666669</v>
      </c>
      <c r="V55" s="613">
        <f t="shared" si="60"/>
        <v>313566.66666666669</v>
      </c>
      <c r="W55" s="613">
        <f t="shared" si="60"/>
        <v>313566.66666666669</v>
      </c>
      <c r="X55" s="958">
        <f t="shared" si="60"/>
        <v>313566.66666666669</v>
      </c>
    </row>
    <row r="56" spans="1:24" outlineLevel="1" x14ac:dyDescent="0.3">
      <c r="A56" s="891">
        <v>2.4</v>
      </c>
      <c r="B56" s="492"/>
      <c r="C56" s="492" t="s">
        <v>55</v>
      </c>
      <c r="D56" s="492"/>
      <c r="E56" s="492"/>
      <c r="F56" s="492"/>
      <c r="G56" s="492"/>
      <c r="H56" s="492"/>
      <c r="I56" s="492"/>
      <c r="J56" s="487">
        <f>'2.4'!E4</f>
        <v>261561</v>
      </c>
      <c r="K56" s="863">
        <f t="shared" si="53"/>
        <v>1.0200274286375488E-2</v>
      </c>
      <c r="L56" s="487">
        <f>'2.4'!F4</f>
        <v>399936</v>
      </c>
      <c r="M56" s="863">
        <f t="shared" si="54"/>
        <v>3.0941210212345792E-3</v>
      </c>
      <c r="N56" s="487">
        <f>'2.4'!G4</f>
        <v>454692</v>
      </c>
      <c r="O56" s="863">
        <f t="shared" si="55"/>
        <v>1.0179631839175661E-3</v>
      </c>
      <c r="P56" s="487">
        <f>'2.4'!H4</f>
        <v>674634</v>
      </c>
      <c r="Q56" s="895">
        <f t="shared" si="56"/>
        <v>8.1700903475975892E-4</v>
      </c>
      <c r="R56" s="611"/>
      <c r="S56" s="891">
        <v>2.4</v>
      </c>
      <c r="T56" s="613">
        <f t="shared" si="57"/>
        <v>399936</v>
      </c>
      <c r="U56" s="613">
        <f t="shared" ref="U56:X56" si="61">T56</f>
        <v>399936</v>
      </c>
      <c r="V56" s="613">
        <f t="shared" si="61"/>
        <v>399936</v>
      </c>
      <c r="W56" s="613">
        <f t="shared" si="61"/>
        <v>399936</v>
      </c>
      <c r="X56" s="958">
        <f t="shared" si="61"/>
        <v>399936</v>
      </c>
    </row>
    <row r="57" spans="1:24" outlineLevel="1" x14ac:dyDescent="0.3">
      <c r="A57" s="925">
        <v>2.5</v>
      </c>
      <c r="B57" s="492"/>
      <c r="C57" s="492" t="s">
        <v>56</v>
      </c>
      <c r="D57" s="492"/>
      <c r="E57" s="492"/>
      <c r="F57" s="492"/>
      <c r="G57" s="492"/>
      <c r="H57" s="492"/>
      <c r="I57" s="492"/>
      <c r="J57" s="487">
        <f>'2.5'!E5</f>
        <v>46759.067066479402</v>
      </c>
      <c r="K57" s="863">
        <f t="shared" si="53"/>
        <v>1.8234955113840242E-3</v>
      </c>
      <c r="L57" s="487">
        <f>'2.5'!F5</f>
        <v>42695.052083148934</v>
      </c>
      <c r="M57" s="863">
        <f>L57/$L$50</f>
        <v>3.3031199530218915E-4</v>
      </c>
      <c r="N57" s="487">
        <f>'2.5'!G5</f>
        <v>40066.039747753668</v>
      </c>
      <c r="O57" s="863">
        <f t="shared" si="55"/>
        <v>8.9699738259285582E-5</v>
      </c>
      <c r="P57" s="487">
        <f>'2.5'!H5</f>
        <v>68306.620906394659</v>
      </c>
      <c r="Q57" s="895">
        <f t="shared" si="56"/>
        <v>8.2722078066676562E-5</v>
      </c>
      <c r="R57" s="611"/>
      <c r="S57" s="925">
        <v>2.5</v>
      </c>
      <c r="T57" s="613">
        <f t="shared" si="57"/>
        <v>42695.052083148934</v>
      </c>
      <c r="U57" s="613">
        <f t="shared" ref="U57:X57" si="62">T57</f>
        <v>42695.052083148934</v>
      </c>
      <c r="V57" s="613">
        <f t="shared" si="62"/>
        <v>42695.052083148934</v>
      </c>
      <c r="W57" s="613">
        <f t="shared" si="62"/>
        <v>42695.052083148934</v>
      </c>
      <c r="X57" s="958">
        <f t="shared" si="62"/>
        <v>42695.052083148934</v>
      </c>
    </row>
    <row r="58" spans="1:24" outlineLevel="1" x14ac:dyDescent="0.3">
      <c r="A58" s="900">
        <v>2.6</v>
      </c>
      <c r="B58" s="78"/>
      <c r="C58" s="78" t="s">
        <v>57</v>
      </c>
      <c r="D58" s="78"/>
      <c r="E58" s="78"/>
      <c r="F58" s="78"/>
      <c r="G58" s="78"/>
      <c r="H58" s="78"/>
      <c r="I58" s="78"/>
      <c r="J58" s="523">
        <f>'2.6'!E4</f>
        <v>2000</v>
      </c>
      <c r="K58" s="926">
        <f t="shared" si="53"/>
        <v>7.799537611781181E-5</v>
      </c>
      <c r="L58" s="523">
        <f>'2.6'!F4</f>
        <v>20000</v>
      </c>
      <c r="M58" s="926">
        <f t="shared" si="54"/>
        <v>1.5473080799100752E-4</v>
      </c>
      <c r="N58" s="523">
        <f>'2.6'!G4</f>
        <v>100000</v>
      </c>
      <c r="O58" s="926">
        <f t="shared" si="55"/>
        <v>2.2387972163960792E-4</v>
      </c>
      <c r="P58" s="523">
        <f>'2.6'!H4</f>
        <v>200000</v>
      </c>
      <c r="Q58" s="902">
        <f t="shared" si="56"/>
        <v>2.4220808164419788E-4</v>
      </c>
      <c r="R58" s="611"/>
      <c r="S58" s="900">
        <v>2.6</v>
      </c>
      <c r="T58" s="959">
        <f t="shared" si="57"/>
        <v>20000</v>
      </c>
      <c r="U58" s="959">
        <f t="shared" ref="U58:X58" si="63">T58</f>
        <v>20000</v>
      </c>
      <c r="V58" s="959">
        <f t="shared" si="63"/>
        <v>20000</v>
      </c>
      <c r="W58" s="959">
        <f t="shared" si="63"/>
        <v>20000</v>
      </c>
      <c r="X58" s="960">
        <f t="shared" si="63"/>
        <v>20000</v>
      </c>
    </row>
    <row r="59" spans="1:24" x14ac:dyDescent="0.3">
      <c r="I59" s="491"/>
      <c r="J59" s="491"/>
      <c r="K59" s="77"/>
      <c r="L59" s="491"/>
      <c r="M59" s="77"/>
      <c r="N59" s="491"/>
      <c r="O59" s="77"/>
      <c r="P59" s="491"/>
      <c r="Q59" s="491"/>
      <c r="S59" s="395"/>
    </row>
    <row r="60" spans="1:24" s="611" customFormat="1" x14ac:dyDescent="0.3">
      <c r="A60" s="617" t="s">
        <v>182</v>
      </c>
      <c r="B60" s="138"/>
      <c r="C60" s="138"/>
      <c r="D60" s="138"/>
      <c r="E60" s="138"/>
      <c r="F60" s="138"/>
      <c r="G60" s="138"/>
      <c r="H60" s="138"/>
      <c r="I60" s="138"/>
      <c r="J60" s="362">
        <f>J52</f>
        <v>1558804.2398804501</v>
      </c>
      <c r="K60" s="140">
        <f t="shared" ref="K60:Q60" si="64">SUM(K53:K58)</f>
        <v>6.0789761491757729E-2</v>
      </c>
      <c r="L60" s="362">
        <f>L52</f>
        <v>3932518.8936855793</v>
      </c>
      <c r="M60" s="140">
        <f t="shared" si="64"/>
        <v>3.042409129299363E-2</v>
      </c>
      <c r="N60" s="362">
        <f>N52</f>
        <v>6149475.9960981784</v>
      </c>
      <c r="O60" s="140">
        <f t="shared" si="64"/>
        <v>1.3767429742359106E-2</v>
      </c>
      <c r="P60" s="362">
        <f>P52</f>
        <v>6891933.5217293547</v>
      </c>
      <c r="Q60" s="140">
        <f t="shared" si="64"/>
        <v>8.3464099855870381E-3</v>
      </c>
      <c r="S60" s="617" t="s">
        <v>182</v>
      </c>
      <c r="T60" s="961">
        <f>T52</f>
        <v>3932518.8936855793</v>
      </c>
      <c r="U60" s="961">
        <f t="shared" ref="U60:X60" si="65">U52</f>
        <v>3932518.8936855793</v>
      </c>
      <c r="V60" s="961">
        <f t="shared" si="65"/>
        <v>3932518.8936855793</v>
      </c>
      <c r="W60" s="961">
        <f t="shared" si="65"/>
        <v>3932518.8936855793</v>
      </c>
      <c r="X60" s="961">
        <f t="shared" si="65"/>
        <v>3932518.8936855793</v>
      </c>
    </row>
    <row r="61" spans="1:24" x14ac:dyDescent="0.3">
      <c r="J61" s="379"/>
      <c r="K61" s="84"/>
      <c r="L61" s="379"/>
      <c r="M61" s="84"/>
      <c r="N61" s="379"/>
      <c r="O61" s="84"/>
      <c r="P61" s="379"/>
    </row>
    <row r="62" spans="1:24" x14ac:dyDescent="0.3">
      <c r="J62" s="491"/>
      <c r="K62" s="77"/>
      <c r="L62" s="491"/>
      <c r="M62" s="77"/>
      <c r="N62" s="491"/>
      <c r="O62" s="77"/>
      <c r="P62" s="491"/>
    </row>
    <row r="63" spans="1:24" ht="15" thickBot="1" x14ac:dyDescent="0.35">
      <c r="A63" s="792" t="s">
        <v>806</v>
      </c>
      <c r="B63" s="793"/>
      <c r="C63" s="793"/>
      <c r="D63" s="793"/>
      <c r="E63" s="793"/>
      <c r="F63" s="793"/>
      <c r="G63" s="793"/>
      <c r="H63" s="793"/>
      <c r="I63" s="793"/>
      <c r="J63" s="795">
        <f>'CBS (CoE)'!J64</f>
        <v>4.7892221203690966</v>
      </c>
      <c r="K63" s="795"/>
      <c r="L63" s="795">
        <f>'CBS (CoE)'!L64</f>
        <v>1.9799474731657751</v>
      </c>
      <c r="M63" s="795"/>
      <c r="N63" s="795">
        <f>'CBS (CoE)'!N64</f>
        <v>1.2038122685428698</v>
      </c>
      <c r="O63" s="795"/>
      <c r="P63" s="795">
        <f>'CBS (CoE)'!P64</f>
        <v>1.0632022343284886</v>
      </c>
      <c r="S63" s="795" t="s">
        <v>891</v>
      </c>
      <c r="T63" s="795">
        <f>((('Performance &amp; Economics'!$G$35*'Mass Uncertainty'!T50)+'Mass Uncertainty'!T60)/('Performance &amp; Economics'!$E$16*1000))/$T$2</f>
        <v>1.9799474731657747</v>
      </c>
      <c r="U63" s="795">
        <f>((('Performance &amp; Economics'!$G$35*'Mass Uncertainty'!U50)+'Mass Uncertainty'!U60)/('Performance &amp; Economics'!$E$16*1000))/$T$2</f>
        <v>1.7216930392005714</v>
      </c>
      <c r="V63" s="795">
        <f>((('Performance &amp; Economics'!$G$35*'Mass Uncertainty'!V50)+'Mass Uncertainty'!V60)/('Performance &amp; Economics'!$E$16*1000))/$T$2</f>
        <v>1.8508202561831735</v>
      </c>
      <c r="W63" s="795">
        <f>((('Performance &amp; Economics'!$G$35*'Mass Uncertainty'!W50)+'Mass Uncertainty'!W60)/('Performance &amp; Economics'!$E$16*1000))/$T$2</f>
        <v>2.1090746901483763</v>
      </c>
      <c r="X63" s="795">
        <f>((('Performance &amp; Economics'!$G$35*'Mass Uncertainty'!X50)+'Mass Uncertainty'!X60)/('Performance &amp; Economics'!$E$16*1000))/$T$2</f>
        <v>2.2382019071309776</v>
      </c>
    </row>
    <row r="64" spans="1:24" ht="15" thickTop="1" x14ac:dyDescent="0.3"/>
    <row r="66" spans="10:11" x14ac:dyDescent="0.3">
      <c r="J66" s="469"/>
    </row>
    <row r="67" spans="10:11" x14ac:dyDescent="0.3">
      <c r="J67" s="469"/>
      <c r="K67" s="796"/>
    </row>
    <row r="68" spans="10:11" x14ac:dyDescent="0.3">
      <c r="J68" s="469"/>
      <c r="K68" s="796"/>
    </row>
    <row r="69" spans="10:11" x14ac:dyDescent="0.3">
      <c r="J69" s="469"/>
      <c r="K69" s="796"/>
    </row>
    <row r="70" spans="10:11" x14ac:dyDescent="0.3">
      <c r="J70" s="469"/>
      <c r="K70" s="796"/>
    </row>
    <row r="71" spans="10:11" x14ac:dyDescent="0.3">
      <c r="J71" s="469"/>
    </row>
    <row r="72" spans="10:11" x14ac:dyDescent="0.3">
      <c r="J72" s="469"/>
      <c r="K72" s="796"/>
    </row>
    <row r="73" spans="10:11" x14ac:dyDescent="0.3">
      <c r="J73" s="469"/>
    </row>
  </sheetData>
  <dataConsolidate/>
  <mergeCells count="1">
    <mergeCell ref="J1:P1"/>
  </mergeCell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AE141"/>
  <sheetViews>
    <sheetView zoomScale="80" zoomScaleNormal="80" zoomScalePageLayoutView="70" workbookViewId="0">
      <selection activeCell="E16" sqref="E16"/>
    </sheetView>
  </sheetViews>
  <sheetFormatPr defaultColWidth="8.88671875" defaultRowHeight="13.2" outlineLevelRow="1" x14ac:dyDescent="0.25"/>
  <cols>
    <col min="1" max="1" width="3" style="110" customWidth="1"/>
    <col min="2" max="2" width="11.44140625" style="110" customWidth="1"/>
    <col min="3" max="3" width="11" style="110" customWidth="1"/>
    <col min="4" max="7" width="8.6640625" style="110" customWidth="1"/>
    <col min="8" max="8" width="8.6640625" style="357" customWidth="1"/>
    <col min="9" max="9" width="8.6640625" style="450" customWidth="1"/>
    <col min="10" max="10" width="8.6640625" style="110" customWidth="1"/>
    <col min="11" max="12" width="8.6640625" style="147" customWidth="1"/>
    <col min="13" max="14" width="8.6640625" style="110" customWidth="1"/>
    <col min="15" max="15" width="8.6640625" style="109" customWidth="1"/>
    <col min="16" max="18" width="8.6640625" style="110" customWidth="1"/>
    <col min="19" max="19" width="13" style="110" customWidth="1"/>
    <col min="20" max="20" width="10.44140625" style="110" customWidth="1"/>
    <col min="21" max="21" width="9" style="110" customWidth="1"/>
    <col min="22" max="22" width="11.44140625" style="110" bestFit="1" customWidth="1"/>
    <col min="23" max="16384" width="8.88671875" style="110"/>
  </cols>
  <sheetData>
    <row r="1" spans="1:31" ht="12.75" customHeight="1" x14ac:dyDescent="0.2">
      <c r="A1" s="146"/>
      <c r="B1" s="146"/>
      <c r="C1" s="147"/>
      <c r="D1" s="147"/>
      <c r="E1" s="147"/>
      <c r="F1" s="147"/>
      <c r="G1" s="147"/>
      <c r="J1" s="147"/>
      <c r="M1" s="147"/>
      <c r="N1" s="147"/>
      <c r="O1" s="146"/>
      <c r="P1" s="146"/>
      <c r="Q1" s="146"/>
      <c r="R1" s="146"/>
      <c r="S1" s="146"/>
      <c r="T1" s="146"/>
      <c r="U1" s="146"/>
      <c r="V1" s="109"/>
      <c r="Z1" s="111"/>
    </row>
    <row r="2" spans="1:31" s="196" customFormat="1" ht="12.75" customHeight="1" x14ac:dyDescent="0.2">
      <c r="A2" s="195" t="s">
        <v>189</v>
      </c>
      <c r="B2" s="195"/>
      <c r="H2" s="357"/>
      <c r="I2" s="450"/>
      <c r="O2" s="195"/>
      <c r="P2" s="195"/>
      <c r="Q2" s="195"/>
      <c r="R2" s="195"/>
      <c r="S2" s="195"/>
      <c r="T2" s="195"/>
      <c r="U2" s="195"/>
      <c r="V2" s="195"/>
      <c r="Z2" s="197"/>
    </row>
    <row r="3" spans="1:31" s="196" customFormat="1" ht="12.75" customHeight="1" x14ac:dyDescent="0.2">
      <c r="A3" s="195"/>
      <c r="B3" s="195"/>
      <c r="H3" s="357"/>
      <c r="I3" s="450"/>
      <c r="O3" s="195"/>
      <c r="P3" s="195"/>
      <c r="Q3" s="195"/>
      <c r="R3" s="195"/>
      <c r="S3" s="195"/>
      <c r="T3" s="195"/>
      <c r="U3" s="195"/>
      <c r="V3" s="195"/>
      <c r="Z3" s="197"/>
    </row>
    <row r="4" spans="1:31" ht="14.25" x14ac:dyDescent="0.2">
      <c r="A4" s="148" t="s">
        <v>254</v>
      </c>
      <c r="B4" s="149"/>
      <c r="C4" s="146"/>
      <c r="D4" s="146"/>
      <c r="E4" s="146"/>
      <c r="F4" s="150"/>
      <c r="G4" s="150"/>
      <c r="H4" s="363"/>
      <c r="I4" s="453"/>
      <c r="J4" s="146"/>
      <c r="K4" s="146"/>
      <c r="L4" s="146"/>
      <c r="M4" s="146"/>
      <c r="N4" s="147"/>
      <c r="O4" s="148"/>
      <c r="P4" s="504"/>
      <c r="Q4" s="504"/>
      <c r="R4" s="504"/>
      <c r="S4" s="504"/>
      <c r="T4" s="504"/>
      <c r="U4" s="146"/>
      <c r="V4" s="113"/>
      <c r="W4" s="481"/>
      <c r="X4" s="482"/>
      <c r="Y4" s="482"/>
      <c r="Z4" s="496"/>
    </row>
    <row r="5" spans="1:31" ht="14.25" outlineLevel="1" x14ac:dyDescent="0.2">
      <c r="A5" s="480"/>
      <c r="B5" s="509" t="s">
        <v>255</v>
      </c>
      <c r="C5" s="509"/>
      <c r="D5" s="509"/>
      <c r="E5" s="509"/>
      <c r="F5" s="476"/>
      <c r="G5" s="495">
        <v>373</v>
      </c>
      <c r="H5" s="146" t="s">
        <v>140</v>
      </c>
      <c r="I5" s="451"/>
      <c r="K5" s="146"/>
      <c r="L5" s="146"/>
      <c r="M5" s="146"/>
      <c r="N5" s="147"/>
      <c r="O5" s="146"/>
      <c r="P5" s="504"/>
      <c r="Q5" s="504"/>
      <c r="R5" s="504"/>
      <c r="S5" s="511"/>
      <c r="T5" s="504"/>
      <c r="U5" s="154"/>
      <c r="V5" s="115"/>
      <c r="W5" s="478"/>
      <c r="X5" s="498"/>
      <c r="Y5" s="478"/>
      <c r="Z5" s="478"/>
      <c r="AA5" s="115"/>
      <c r="AB5" s="116"/>
      <c r="AC5" s="116"/>
      <c r="AD5" s="109"/>
      <c r="AE5" s="109"/>
    </row>
    <row r="6" spans="1:31" s="357" customFormat="1" ht="14.25" outlineLevel="1" x14ac:dyDescent="0.2">
      <c r="A6" s="480"/>
      <c r="B6" s="479"/>
      <c r="C6" s="476"/>
      <c r="D6" s="476"/>
      <c r="E6" s="476"/>
      <c r="F6" s="476"/>
      <c r="G6" s="510"/>
      <c r="H6" s="356"/>
      <c r="I6" s="451"/>
      <c r="K6" s="356"/>
      <c r="L6" s="356"/>
      <c r="M6" s="356"/>
      <c r="O6" s="356"/>
      <c r="P6" s="505"/>
      <c r="Q6" s="504"/>
      <c r="R6" s="504"/>
      <c r="S6" s="514"/>
      <c r="T6" s="504"/>
      <c r="U6" s="364"/>
      <c r="V6" s="358"/>
      <c r="W6" s="478"/>
      <c r="X6" s="498"/>
      <c r="Y6" s="478"/>
      <c r="Z6" s="478"/>
      <c r="AA6" s="358"/>
      <c r="AB6" s="359"/>
      <c r="AC6" s="359"/>
      <c r="AD6" s="356"/>
      <c r="AE6" s="356"/>
    </row>
    <row r="7" spans="1:31" s="441" customFormat="1" ht="12.75" outlineLevel="1" x14ac:dyDescent="0.2">
      <c r="A7" s="148" t="s">
        <v>171</v>
      </c>
      <c r="B7" s="151"/>
      <c r="C7" s="151"/>
      <c r="D7" s="151"/>
      <c r="E7" s="151"/>
      <c r="F7" s="150"/>
      <c r="G7" s="505"/>
      <c r="H7" s="146"/>
      <c r="I7" s="451"/>
      <c r="K7" s="442"/>
      <c r="L7" s="442"/>
      <c r="M7" s="442"/>
      <c r="O7" s="442"/>
      <c r="P7" s="505"/>
      <c r="Q7" s="504"/>
      <c r="R7" s="504"/>
      <c r="S7" s="511"/>
      <c r="T7" s="504"/>
      <c r="U7" s="443"/>
      <c r="V7" s="445"/>
      <c r="W7" s="478"/>
      <c r="X7" s="498"/>
      <c r="Y7" s="478"/>
      <c r="Z7" s="478"/>
      <c r="AA7" s="445"/>
      <c r="AB7" s="444"/>
      <c r="AC7" s="444"/>
      <c r="AD7" s="442"/>
      <c r="AE7" s="442"/>
    </row>
    <row r="8" spans="1:31" ht="12.75" outlineLevel="1" x14ac:dyDescent="0.2">
      <c r="A8" s="146"/>
      <c r="B8" s="155" t="s">
        <v>173</v>
      </c>
      <c r="C8" s="155"/>
      <c r="D8" s="155"/>
      <c r="E8" s="155"/>
      <c r="F8" s="152"/>
      <c r="G8" s="122">
        <v>1</v>
      </c>
      <c r="H8" s="507"/>
      <c r="I8" s="451"/>
      <c r="K8" s="146"/>
      <c r="L8" s="146"/>
      <c r="M8" s="146"/>
      <c r="N8" s="147"/>
      <c r="O8" s="146"/>
      <c r="U8" s="146"/>
      <c r="V8" s="109"/>
      <c r="W8" s="500"/>
      <c r="X8" s="500"/>
      <c r="Y8" s="500"/>
      <c r="Z8" s="494"/>
      <c r="AA8" s="109"/>
      <c r="AB8" s="109"/>
      <c r="AC8" s="109"/>
      <c r="AD8" s="109"/>
      <c r="AE8" s="109"/>
    </row>
    <row r="9" spans="1:31" s="357" customFormat="1" ht="12.75" outlineLevel="1" x14ac:dyDescent="0.2">
      <c r="A9" s="146"/>
      <c r="B9" s="512" t="s">
        <v>159</v>
      </c>
      <c r="C9" s="509"/>
      <c r="D9" s="509"/>
      <c r="E9" s="509"/>
      <c r="F9" s="152"/>
      <c r="G9" s="122">
        <v>1</v>
      </c>
      <c r="H9" s="507"/>
      <c r="I9" s="452"/>
      <c r="K9" s="356"/>
      <c r="L9" s="356"/>
      <c r="M9" s="356"/>
      <c r="O9" s="356"/>
      <c r="U9" s="356"/>
      <c r="V9" s="356"/>
      <c r="W9" s="500"/>
      <c r="X9" s="500"/>
      <c r="Y9" s="500"/>
      <c r="Z9" s="494"/>
      <c r="AA9" s="356"/>
      <c r="AB9" s="356"/>
      <c r="AC9" s="356"/>
      <c r="AD9" s="356"/>
      <c r="AE9" s="356"/>
    </row>
    <row r="10" spans="1:31" ht="12.75" outlineLevel="1" x14ac:dyDescent="0.2">
      <c r="G10" s="508"/>
      <c r="H10" s="156"/>
      <c r="I10" s="452"/>
      <c r="K10" s="156"/>
      <c r="L10" s="156"/>
      <c r="M10" s="146"/>
      <c r="N10" s="147"/>
      <c r="O10" s="110"/>
      <c r="V10" s="109"/>
      <c r="W10" s="109"/>
      <c r="X10" s="109"/>
      <c r="Y10" s="109"/>
      <c r="Z10" s="117"/>
      <c r="AA10" s="109"/>
      <c r="AB10" s="109"/>
      <c r="AC10" s="109"/>
      <c r="AD10" s="109"/>
      <c r="AE10" s="109"/>
    </row>
    <row r="11" spans="1:31" ht="12.75" outlineLevel="1" x14ac:dyDescent="0.2">
      <c r="A11" s="148" t="s">
        <v>166</v>
      </c>
      <c r="B11" s="146"/>
      <c r="C11" s="146"/>
      <c r="D11" s="146"/>
      <c r="E11" s="513"/>
      <c r="F11" s="157"/>
      <c r="G11" s="146"/>
      <c r="H11" s="424"/>
      <c r="K11" s="156"/>
      <c r="L11" s="156"/>
      <c r="M11" s="146"/>
      <c r="N11" s="147"/>
      <c r="O11" s="110"/>
      <c r="V11" s="109"/>
      <c r="W11" s="109"/>
      <c r="X11" s="109"/>
      <c r="Y11" s="109"/>
      <c r="Z11" s="117"/>
      <c r="AA11" s="109"/>
      <c r="AB11" s="109"/>
      <c r="AC11" s="109"/>
      <c r="AD11" s="109"/>
      <c r="AE11" s="109"/>
    </row>
    <row r="12" spans="1:31" ht="12.75" outlineLevel="1" x14ac:dyDescent="0.2">
      <c r="A12" s="147"/>
      <c r="B12" s="158" t="s">
        <v>167</v>
      </c>
      <c r="C12" s="155"/>
      <c r="D12" s="509"/>
      <c r="E12" s="888"/>
      <c r="F12" s="160" t="s">
        <v>140</v>
      </c>
      <c r="G12" s="146"/>
      <c r="K12" s="156"/>
      <c r="L12" s="156"/>
      <c r="M12" s="146"/>
      <c r="N12" s="147"/>
      <c r="O12" s="110"/>
      <c r="V12" s="109"/>
      <c r="W12" s="109"/>
      <c r="X12" s="109"/>
      <c r="Y12" s="109"/>
      <c r="Z12" s="117"/>
      <c r="AA12" s="109"/>
      <c r="AB12" s="109"/>
      <c r="AC12" s="109"/>
      <c r="AD12" s="109"/>
      <c r="AE12" s="109"/>
    </row>
    <row r="13" spans="1:31" s="458" customFormat="1" ht="12.75" outlineLevel="1" x14ac:dyDescent="0.2">
      <c r="A13" s="146"/>
      <c r="B13" s="162" t="s">
        <v>168</v>
      </c>
      <c r="C13" s="155"/>
      <c r="D13" s="159"/>
      <c r="E13" s="889">
        <v>103.2</v>
      </c>
      <c r="F13" s="153" t="s">
        <v>140</v>
      </c>
      <c r="G13" s="154"/>
      <c r="K13" s="460"/>
      <c r="L13" s="460"/>
      <c r="M13" s="459"/>
      <c r="V13" s="459"/>
      <c r="W13" s="459"/>
      <c r="X13" s="459"/>
      <c r="Y13" s="459"/>
      <c r="Z13" s="360"/>
      <c r="AA13" s="459"/>
      <c r="AB13" s="459"/>
      <c r="AC13" s="459"/>
      <c r="AD13" s="459"/>
      <c r="AE13" s="459"/>
    </row>
    <row r="14" spans="1:31" s="458" customFormat="1" ht="12.75" outlineLevel="1" x14ac:dyDescent="0.2">
      <c r="A14" s="459"/>
      <c r="B14" s="162" t="s">
        <v>169</v>
      </c>
      <c r="C14" s="155"/>
      <c r="D14" s="159"/>
      <c r="E14" s="890">
        <f>G5</f>
        <v>373</v>
      </c>
      <c r="F14" s="153" t="s">
        <v>140</v>
      </c>
      <c r="G14" s="461"/>
      <c r="K14" s="460"/>
      <c r="L14" s="460"/>
      <c r="M14" s="459"/>
      <c r="V14" s="459"/>
      <c r="W14" s="459"/>
      <c r="X14" s="459"/>
      <c r="Y14" s="459"/>
      <c r="Z14" s="360"/>
      <c r="AA14" s="459"/>
      <c r="AB14" s="459"/>
      <c r="AC14" s="459"/>
      <c r="AD14" s="459"/>
      <c r="AE14" s="459"/>
    </row>
    <row r="15" spans="1:31" ht="12.75" outlineLevel="1" x14ac:dyDescent="0.2">
      <c r="A15" s="459"/>
      <c r="B15" s="162" t="s">
        <v>170</v>
      </c>
      <c r="C15" s="155"/>
      <c r="D15" s="159"/>
      <c r="E15" s="163">
        <f>E13/E14</f>
        <v>0.27667560321715817</v>
      </c>
      <c r="F15" s="153"/>
      <c r="G15" s="461"/>
      <c r="K15" s="156"/>
      <c r="L15" s="156"/>
      <c r="M15" s="146"/>
      <c r="N15" s="147"/>
      <c r="O15" s="110"/>
      <c r="V15" s="109"/>
      <c r="W15" s="109"/>
      <c r="X15" s="109"/>
      <c r="Y15" s="109"/>
      <c r="Z15" s="117"/>
      <c r="AA15" s="109"/>
      <c r="AB15" s="109"/>
      <c r="AC15" s="109"/>
      <c r="AD15" s="109"/>
      <c r="AE15" s="109"/>
    </row>
    <row r="16" spans="1:31" ht="12.75" outlineLevel="1" x14ac:dyDescent="0.2">
      <c r="A16" s="146"/>
      <c r="B16" s="162" t="s">
        <v>160</v>
      </c>
      <c r="C16" s="155"/>
      <c r="D16" s="159"/>
      <c r="E16" s="164">
        <f>E13*G8*G9*24*365/1000</f>
        <v>904.03200000000015</v>
      </c>
      <c r="F16" s="165" t="s">
        <v>174</v>
      </c>
      <c r="G16" s="161"/>
      <c r="K16" s="156"/>
      <c r="L16" s="156"/>
      <c r="M16" s="146"/>
      <c r="N16" s="147"/>
      <c r="O16" s="110"/>
      <c r="V16" s="109"/>
      <c r="W16" s="109"/>
      <c r="X16" s="109"/>
      <c r="Y16" s="109"/>
      <c r="Z16" s="117"/>
      <c r="AA16" s="109"/>
      <c r="AB16" s="109"/>
      <c r="AC16" s="109"/>
      <c r="AD16" s="109"/>
      <c r="AE16" s="109"/>
    </row>
    <row r="17" spans="1:31" ht="12.75" outlineLevel="1" x14ac:dyDescent="0.2">
      <c r="A17" s="146"/>
      <c r="B17" s="162" t="s">
        <v>172</v>
      </c>
      <c r="C17" s="155"/>
      <c r="D17" s="159"/>
      <c r="E17" s="166">
        <f>E13/1.3</f>
        <v>79.384615384615387</v>
      </c>
      <c r="F17" s="167"/>
      <c r="G17" s="146"/>
      <c r="K17" s="146"/>
      <c r="L17" s="146"/>
      <c r="M17" s="146"/>
      <c r="N17" s="147"/>
      <c r="O17" s="146"/>
      <c r="U17" s="146"/>
      <c r="W17" s="112"/>
      <c r="X17" s="109"/>
      <c r="Y17" s="109"/>
      <c r="Z17" s="117"/>
      <c r="AA17" s="109"/>
      <c r="AB17" s="109"/>
      <c r="AC17" s="109"/>
      <c r="AD17" s="109"/>
      <c r="AE17" s="109"/>
    </row>
    <row r="18" spans="1:31" ht="12.75" outlineLevel="1" x14ac:dyDescent="0.2">
      <c r="A18" s="146"/>
      <c r="J18" s="156"/>
      <c r="K18" s="156"/>
      <c r="L18" s="156"/>
      <c r="M18" s="146"/>
      <c r="N18" s="147"/>
      <c r="U18" s="146"/>
      <c r="W18" s="109"/>
      <c r="X18" s="109"/>
      <c r="Y18" s="119"/>
      <c r="Z18" s="114"/>
      <c r="AA18" s="109"/>
      <c r="AB18" s="109"/>
      <c r="AC18" s="109"/>
      <c r="AD18" s="109"/>
    </row>
    <row r="19" spans="1:31" ht="12.75" x14ac:dyDescent="0.2">
      <c r="A19" s="781" t="s">
        <v>779</v>
      </c>
      <c r="C19" s="126"/>
      <c r="D19" s="126"/>
      <c r="F19" s="126"/>
      <c r="G19" s="109"/>
      <c r="H19" s="110"/>
      <c r="I19" s="110"/>
      <c r="J19" s="507"/>
      <c r="K19" s="507"/>
      <c r="L19" s="507"/>
      <c r="M19" s="504"/>
      <c r="N19" s="504"/>
      <c r="O19" s="504"/>
      <c r="P19" s="504"/>
      <c r="Q19" s="504"/>
      <c r="R19" s="504"/>
      <c r="S19" s="483"/>
      <c r="T19" s="483"/>
      <c r="U19" s="146"/>
      <c r="W19" s="109"/>
      <c r="X19" s="109"/>
      <c r="Y19" s="109"/>
      <c r="Z19" s="114"/>
      <c r="AA19" s="119"/>
      <c r="AB19" s="109"/>
      <c r="AC19" s="109"/>
      <c r="AD19" s="109"/>
    </row>
    <row r="20" spans="1:31" s="503" customFormat="1" ht="12.75" x14ac:dyDescent="0.2">
      <c r="A20" s="147"/>
      <c r="B20" s="110" t="s">
        <v>775</v>
      </c>
      <c r="C20" s="147"/>
      <c r="D20" s="147"/>
      <c r="E20" s="110"/>
      <c r="F20" s="110"/>
      <c r="G20" s="109">
        <v>7.0000000000000007E-2</v>
      </c>
      <c r="H20" s="110"/>
      <c r="I20" s="110"/>
      <c r="J20" s="507"/>
      <c r="K20" s="507"/>
      <c r="L20" s="507"/>
      <c r="M20" s="504"/>
      <c r="N20" s="504"/>
      <c r="O20" s="504"/>
      <c r="P20" s="504"/>
      <c r="Q20" s="504"/>
      <c r="R20" s="504"/>
      <c r="S20" s="483"/>
      <c r="T20" s="483"/>
      <c r="U20" s="504"/>
      <c r="W20" s="504"/>
      <c r="X20" s="504"/>
      <c r="Y20" s="504"/>
      <c r="Z20" s="477"/>
      <c r="AA20" s="514"/>
      <c r="AB20" s="504"/>
      <c r="AC20" s="504"/>
      <c r="AD20" s="504"/>
    </row>
    <row r="21" spans="1:31" ht="12.75" outlineLevel="1" x14ac:dyDescent="0.2">
      <c r="A21" s="147"/>
      <c r="B21" s="110" t="s">
        <v>776</v>
      </c>
      <c r="C21" s="147"/>
      <c r="D21" s="147"/>
      <c r="G21" s="109">
        <v>2.5000000000000001E-2</v>
      </c>
      <c r="H21" s="110"/>
      <c r="I21" s="110"/>
      <c r="J21" s="881"/>
      <c r="K21" s="881"/>
      <c r="L21" s="881"/>
      <c r="M21" s="881"/>
      <c r="N21" s="881"/>
      <c r="O21" s="881"/>
      <c r="P21" s="881"/>
      <c r="Q21" s="881"/>
      <c r="R21" s="881"/>
      <c r="S21" s="881"/>
      <c r="T21" s="881"/>
      <c r="U21" s="147"/>
      <c r="W21" s="109"/>
      <c r="X21" s="109"/>
      <c r="Y21" s="109"/>
      <c r="Z21" s="114"/>
      <c r="AA21" s="119"/>
      <c r="AB21" s="109"/>
      <c r="AC21" s="109"/>
      <c r="AD21" s="109"/>
    </row>
    <row r="22" spans="1:31" outlineLevel="1" x14ac:dyDescent="0.25">
      <c r="A22" s="147"/>
      <c r="B22" s="503" t="s">
        <v>777</v>
      </c>
      <c r="C22" s="147"/>
      <c r="D22" s="147"/>
      <c r="G22" s="109">
        <v>0.39600000000000002</v>
      </c>
      <c r="H22" s="110"/>
      <c r="I22" s="110"/>
      <c r="J22" s="515"/>
      <c r="K22" s="515"/>
      <c r="L22" s="515"/>
      <c r="M22" s="515"/>
      <c r="N22" s="515"/>
      <c r="O22" s="515"/>
      <c r="P22" s="515"/>
      <c r="Q22" s="515"/>
      <c r="R22" s="515"/>
      <c r="S22" s="515"/>
      <c r="T22" s="515"/>
      <c r="U22" s="501"/>
      <c r="X22" s="109"/>
      <c r="Y22" s="109"/>
      <c r="Z22" s="114"/>
      <c r="AA22" s="109"/>
      <c r="AB22" s="109"/>
    </row>
    <row r="23" spans="1:31" ht="12.75" outlineLevel="1" x14ac:dyDescent="0.2">
      <c r="A23" s="147"/>
      <c r="B23" s="110" t="s">
        <v>778</v>
      </c>
      <c r="C23" s="147"/>
      <c r="D23" s="147"/>
      <c r="G23" s="109">
        <v>20</v>
      </c>
      <c r="H23" s="110"/>
      <c r="I23" s="110"/>
      <c r="J23" s="515"/>
      <c r="K23" s="515"/>
      <c r="L23" s="515"/>
      <c r="M23" s="515"/>
      <c r="N23" s="515"/>
      <c r="O23" s="515"/>
      <c r="P23" s="515"/>
      <c r="Q23" s="515"/>
      <c r="R23" s="515"/>
      <c r="S23" s="515"/>
      <c r="T23" s="515"/>
      <c r="U23" s="501"/>
      <c r="X23" s="109"/>
      <c r="Y23" s="109"/>
      <c r="Z23" s="114"/>
      <c r="AA23" s="109"/>
      <c r="AB23" s="109"/>
    </row>
    <row r="24" spans="1:31" ht="12.75" outlineLevel="1" x14ac:dyDescent="0.2">
      <c r="A24" s="147"/>
      <c r="B24" s="110" t="s">
        <v>772</v>
      </c>
      <c r="C24" s="147"/>
      <c r="D24" s="147"/>
      <c r="G24" s="109" t="s">
        <v>771</v>
      </c>
      <c r="H24" s="110"/>
      <c r="I24" s="110"/>
      <c r="J24" s="515"/>
      <c r="K24" s="515"/>
      <c r="L24" s="515"/>
      <c r="M24" s="515"/>
      <c r="N24" s="515"/>
      <c r="O24" s="515"/>
      <c r="P24" s="515"/>
      <c r="Q24" s="515"/>
      <c r="R24" s="515"/>
      <c r="S24" s="515"/>
      <c r="T24" s="515"/>
      <c r="U24" s="501"/>
      <c r="X24" s="109"/>
      <c r="Y24" s="109"/>
      <c r="Z24" s="114"/>
      <c r="AA24" s="109"/>
      <c r="AB24" s="109"/>
    </row>
    <row r="25" spans="1:31" ht="12.75" outlineLevel="1" x14ac:dyDescent="0.2">
      <c r="A25" s="147"/>
      <c r="B25" s="127" t="s">
        <v>165</v>
      </c>
      <c r="F25" s="110" t="s">
        <v>175</v>
      </c>
      <c r="G25" s="128">
        <v>0.2</v>
      </c>
      <c r="H25" s="110">
        <v>1</v>
      </c>
      <c r="I25" s="503">
        <f t="shared" ref="I25:I30" si="0">$G$22*(G25/(((1+$G$20)^H25)*(1+$G$21)^H25))</f>
        <v>7.2213357647595178E-2</v>
      </c>
      <c r="J25" s="515"/>
      <c r="K25" s="515"/>
      <c r="L25" s="515"/>
      <c r="M25" s="515"/>
      <c r="N25" s="515"/>
      <c r="O25" s="515"/>
      <c r="P25" s="515"/>
      <c r="Q25" s="515"/>
      <c r="R25" s="515"/>
      <c r="S25" s="515"/>
      <c r="T25" s="515"/>
      <c r="U25" s="501"/>
      <c r="X25" s="109"/>
      <c r="Y25" s="109"/>
      <c r="Z25" s="114"/>
      <c r="AA25" s="109"/>
      <c r="AB25" s="109"/>
    </row>
    <row r="26" spans="1:31" ht="12.75" outlineLevel="1" x14ac:dyDescent="0.2">
      <c r="A26" s="147"/>
      <c r="B26" s="113"/>
      <c r="F26" s="110" t="s">
        <v>176</v>
      </c>
      <c r="G26" s="129">
        <v>0.32</v>
      </c>
      <c r="H26" s="110">
        <v>2</v>
      </c>
      <c r="I26" s="503">
        <f t="shared" si="0"/>
        <v>0.10534886914625237</v>
      </c>
      <c r="J26" s="515"/>
      <c r="K26" s="515"/>
      <c r="L26" s="515"/>
      <c r="M26" s="515"/>
      <c r="N26" s="515"/>
      <c r="O26" s="515"/>
      <c r="P26" s="515"/>
      <c r="Q26" s="515"/>
      <c r="R26" s="515"/>
      <c r="S26" s="515"/>
      <c r="T26" s="515"/>
      <c r="U26" s="501"/>
      <c r="W26" s="120"/>
      <c r="X26" s="109"/>
      <c r="Y26" s="109"/>
      <c r="AA26" s="109"/>
      <c r="AB26" s="109"/>
    </row>
    <row r="27" spans="1:31" ht="12.75" outlineLevel="1" x14ac:dyDescent="0.2">
      <c r="A27" s="147"/>
      <c r="F27" s="110" t="s">
        <v>177</v>
      </c>
      <c r="G27" s="129">
        <v>0.192</v>
      </c>
      <c r="H27" s="110">
        <v>3</v>
      </c>
      <c r="I27" s="503">
        <f t="shared" si="0"/>
        <v>5.7633299738091108E-2</v>
      </c>
      <c r="J27" s="515"/>
      <c r="K27" s="515"/>
      <c r="L27" s="515"/>
      <c r="M27" s="515"/>
      <c r="N27" s="515"/>
      <c r="O27" s="515"/>
      <c r="P27" s="515"/>
      <c r="Q27" s="515"/>
      <c r="R27" s="515"/>
      <c r="S27" s="515"/>
      <c r="T27" s="515"/>
      <c r="U27" s="501"/>
      <c r="W27" s="121"/>
      <c r="X27" s="109"/>
      <c r="Y27" s="109"/>
      <c r="Z27" s="114"/>
      <c r="AA27" s="109"/>
      <c r="AB27" s="109"/>
    </row>
    <row r="28" spans="1:31" ht="12.75" outlineLevel="1" x14ac:dyDescent="0.2">
      <c r="A28" s="147"/>
      <c r="F28" s="110" t="s">
        <v>178</v>
      </c>
      <c r="G28" s="129">
        <v>0.1152</v>
      </c>
      <c r="H28" s="110">
        <v>4</v>
      </c>
      <c r="I28" s="503">
        <f t="shared" si="0"/>
        <v>3.1529500654528982E-2</v>
      </c>
      <c r="J28" s="515"/>
      <c r="K28" s="515"/>
      <c r="L28" s="515"/>
      <c r="M28" s="515"/>
      <c r="N28" s="515"/>
      <c r="O28" s="515"/>
      <c r="P28" s="515"/>
      <c r="Q28" s="515"/>
      <c r="R28" s="515"/>
      <c r="S28" s="515"/>
      <c r="T28" s="515"/>
      <c r="U28" s="501"/>
      <c r="W28" s="118"/>
      <c r="Z28" s="114"/>
    </row>
    <row r="29" spans="1:31" ht="12.75" outlineLevel="1" x14ac:dyDescent="0.2">
      <c r="A29" s="147"/>
      <c r="F29" s="110" t="s">
        <v>179</v>
      </c>
      <c r="G29" s="129">
        <v>0.1152</v>
      </c>
      <c r="H29" s="110">
        <v>5</v>
      </c>
      <c r="I29" s="503">
        <f t="shared" si="0"/>
        <v>2.8748120040600851E-2</v>
      </c>
      <c r="J29" s="515"/>
      <c r="K29" s="515"/>
      <c r="L29" s="515"/>
      <c r="M29" s="515"/>
      <c r="N29" s="515"/>
      <c r="O29" s="515"/>
      <c r="P29" s="515"/>
      <c r="Q29" s="515"/>
      <c r="R29" s="515"/>
      <c r="S29" s="515"/>
      <c r="T29" s="515"/>
      <c r="U29" s="501"/>
      <c r="V29" s="109"/>
      <c r="W29" s="109"/>
      <c r="Z29" s="114"/>
    </row>
    <row r="30" spans="1:31" ht="12.75" outlineLevel="1" x14ac:dyDescent="0.2">
      <c r="A30" s="147"/>
      <c r="F30" s="110" t="s">
        <v>180</v>
      </c>
      <c r="G30" s="129">
        <v>5.7599999999999998E-2</v>
      </c>
      <c r="H30" s="110">
        <v>6</v>
      </c>
      <c r="I30" s="503">
        <f t="shared" si="0"/>
        <v>1.3106049710782245E-2</v>
      </c>
      <c r="J30" s="515"/>
      <c r="K30" s="515"/>
      <c r="L30" s="515"/>
      <c r="M30" s="515"/>
      <c r="N30" s="515"/>
      <c r="O30" s="515"/>
      <c r="P30" s="515"/>
      <c r="Q30" s="515"/>
      <c r="R30" s="515"/>
      <c r="S30" s="515"/>
      <c r="T30" s="515"/>
      <c r="U30" s="501"/>
      <c r="V30" s="109"/>
    </row>
    <row r="31" spans="1:31" ht="12.75" outlineLevel="1" x14ac:dyDescent="0.2">
      <c r="A31" s="147"/>
      <c r="C31" s="147"/>
      <c r="D31" s="147"/>
      <c r="G31" s="109"/>
      <c r="H31" s="110"/>
      <c r="I31" s="110"/>
      <c r="J31" s="515"/>
      <c r="K31" s="515"/>
      <c r="L31" s="515"/>
      <c r="M31" s="515"/>
      <c r="N31" s="515"/>
      <c r="O31" s="515"/>
      <c r="P31" s="515"/>
      <c r="Q31" s="515"/>
      <c r="R31" s="515"/>
      <c r="S31" s="515"/>
      <c r="T31" s="515"/>
      <c r="U31" s="501"/>
      <c r="V31" s="109"/>
    </row>
    <row r="32" spans="1:31" ht="12.75" outlineLevel="1" x14ac:dyDescent="0.2">
      <c r="A32" s="147"/>
      <c r="B32" s="110" t="s">
        <v>773</v>
      </c>
      <c r="C32" s="147"/>
      <c r="D32" s="147"/>
      <c r="G32" s="124">
        <f>SUM(I25:I30)</f>
        <v>0.30857919693785069</v>
      </c>
      <c r="H32" s="110"/>
      <c r="I32" s="110"/>
      <c r="J32" s="515"/>
      <c r="K32" s="515"/>
      <c r="L32" s="515"/>
      <c r="M32" s="515"/>
      <c r="N32" s="515"/>
      <c r="O32" s="515"/>
      <c r="P32" s="515"/>
      <c r="Q32" s="515"/>
      <c r="R32" s="515"/>
      <c r="S32" s="515"/>
      <c r="T32" s="515"/>
      <c r="U32" s="501"/>
      <c r="V32" s="109"/>
    </row>
    <row r="33" spans="1:22" ht="12.75" outlineLevel="1" x14ac:dyDescent="0.2">
      <c r="A33" s="147"/>
      <c r="B33" s="110" t="s">
        <v>774</v>
      </c>
      <c r="C33" s="147"/>
      <c r="D33" s="147"/>
      <c r="G33" s="109"/>
      <c r="H33" s="110"/>
      <c r="I33" s="110"/>
      <c r="J33" s="515"/>
      <c r="K33" s="515"/>
      <c r="L33" s="515"/>
      <c r="M33" s="515"/>
      <c r="N33" s="515"/>
      <c r="O33" s="515"/>
      <c r="P33" s="515"/>
      <c r="Q33" s="515"/>
      <c r="R33" s="515"/>
      <c r="S33" s="515"/>
      <c r="T33" s="515"/>
      <c r="U33" s="501"/>
      <c r="V33" s="109"/>
    </row>
    <row r="34" spans="1:22" ht="12.75" outlineLevel="1" x14ac:dyDescent="0.2">
      <c r="A34" s="147"/>
      <c r="H34" s="348"/>
      <c r="I34" s="348"/>
      <c r="J34" s="515"/>
      <c r="K34" s="515"/>
      <c r="L34" s="515"/>
      <c r="M34" s="515"/>
      <c r="N34" s="515"/>
      <c r="O34" s="515"/>
      <c r="P34" s="515"/>
      <c r="Q34" s="515"/>
      <c r="R34" s="515"/>
      <c r="S34" s="515"/>
      <c r="T34" s="515"/>
      <c r="U34" s="501"/>
    </row>
    <row r="35" spans="1:22" ht="13.8" outlineLevel="1" thickBot="1" x14ac:dyDescent="0.3">
      <c r="A35" s="147"/>
      <c r="B35" s="782" t="s">
        <v>181</v>
      </c>
      <c r="C35" s="782"/>
      <c r="D35" s="782"/>
      <c r="E35" s="782"/>
      <c r="F35" s="782"/>
      <c r="G35" s="783">
        <f>(G20/((1-(1/(1+G20)^G23))))*((1-G32)/(1-G22))</f>
        <v>0.10805502072978093</v>
      </c>
      <c r="H35" s="348"/>
      <c r="I35" s="348"/>
      <c r="J35" s="515"/>
      <c r="K35" s="515"/>
      <c r="L35" s="515"/>
      <c r="M35" s="515"/>
      <c r="N35" s="515"/>
      <c r="O35" s="515"/>
      <c r="P35" s="515"/>
      <c r="Q35" s="515"/>
      <c r="R35" s="515"/>
      <c r="S35" s="515"/>
      <c r="T35" s="515"/>
      <c r="U35" s="501"/>
    </row>
    <row r="36" spans="1:22" ht="13.8" outlineLevel="1" thickTop="1" x14ac:dyDescent="0.25">
      <c r="H36" s="110"/>
      <c r="I36" s="110"/>
      <c r="J36" s="515"/>
      <c r="K36" s="515"/>
      <c r="L36" s="515"/>
      <c r="M36" s="515"/>
      <c r="N36" s="515"/>
      <c r="O36" s="515"/>
      <c r="P36" s="515"/>
      <c r="Q36" s="515"/>
      <c r="R36" s="515"/>
      <c r="S36" s="515"/>
      <c r="T36" s="515"/>
      <c r="U36" s="501"/>
    </row>
    <row r="37" spans="1:22" outlineLevel="1" x14ac:dyDescent="0.25">
      <c r="H37" s="110"/>
      <c r="I37" s="110"/>
      <c r="J37" s="515"/>
      <c r="K37" s="515"/>
      <c r="L37" s="515"/>
      <c r="M37" s="515"/>
      <c r="N37" s="515"/>
      <c r="O37" s="515"/>
      <c r="P37" s="515"/>
      <c r="Q37" s="515"/>
      <c r="R37" s="515"/>
      <c r="S37" s="515"/>
      <c r="T37" s="515"/>
      <c r="U37" s="501"/>
    </row>
    <row r="38" spans="1:22" outlineLevel="1" x14ac:dyDescent="0.25">
      <c r="H38" s="110"/>
      <c r="I38" s="110"/>
      <c r="J38" s="515"/>
      <c r="K38" s="515"/>
      <c r="L38" s="515"/>
      <c r="M38" s="515"/>
      <c r="N38" s="515"/>
      <c r="O38" s="515"/>
      <c r="P38" s="515"/>
      <c r="Q38" s="515"/>
      <c r="R38" s="515"/>
      <c r="S38" s="515"/>
      <c r="T38" s="515"/>
      <c r="U38" s="501"/>
    </row>
    <row r="39" spans="1:22" outlineLevel="1" x14ac:dyDescent="0.25">
      <c r="H39" s="110"/>
      <c r="I39" s="110"/>
      <c r="J39" s="515"/>
      <c r="K39" s="515"/>
      <c r="L39" s="515"/>
      <c r="M39" s="515"/>
      <c r="N39" s="515"/>
      <c r="O39" s="515"/>
      <c r="P39" s="515"/>
      <c r="Q39" s="515"/>
      <c r="R39" s="515"/>
      <c r="S39" s="515"/>
      <c r="T39" s="515"/>
      <c r="U39" s="501"/>
    </row>
    <row r="40" spans="1:22" outlineLevel="1" x14ac:dyDescent="0.25">
      <c r="H40" s="110"/>
      <c r="I40" s="110"/>
      <c r="J40" s="515"/>
      <c r="K40" s="515"/>
      <c r="L40" s="515"/>
      <c r="M40" s="515"/>
      <c r="N40" s="515"/>
      <c r="O40" s="515"/>
      <c r="P40" s="515"/>
      <c r="Q40" s="515"/>
      <c r="R40" s="515"/>
      <c r="S40" s="515"/>
      <c r="T40" s="515"/>
      <c r="U40" s="501"/>
    </row>
    <row r="41" spans="1:22" outlineLevel="1" x14ac:dyDescent="0.25">
      <c r="A41" s="147"/>
      <c r="B41" s="504"/>
      <c r="C41" s="504"/>
      <c r="D41" s="882"/>
      <c r="E41" s="515"/>
      <c r="F41" s="515"/>
      <c r="G41" s="515"/>
      <c r="H41" s="515"/>
      <c r="I41" s="515"/>
      <c r="J41" s="515"/>
      <c r="K41" s="515"/>
      <c r="L41" s="515"/>
      <c r="M41" s="515"/>
      <c r="N41" s="515"/>
      <c r="O41" s="515"/>
      <c r="P41" s="515"/>
      <c r="Q41" s="515"/>
      <c r="R41" s="515"/>
      <c r="S41" s="515"/>
      <c r="T41" s="515"/>
      <c r="U41" s="501"/>
    </row>
    <row r="42" spans="1:22" s="499" customFormat="1" outlineLevel="1" x14ac:dyDescent="0.25">
      <c r="B42" s="504"/>
      <c r="C42" s="504"/>
      <c r="D42" s="882"/>
      <c r="E42" s="515"/>
      <c r="F42" s="515"/>
      <c r="G42" s="515"/>
      <c r="H42" s="515"/>
      <c r="I42" s="515"/>
      <c r="J42" s="515"/>
      <c r="K42" s="515"/>
      <c r="L42" s="515"/>
      <c r="M42" s="515"/>
      <c r="N42" s="515"/>
      <c r="O42" s="515"/>
      <c r="P42" s="515"/>
      <c r="Q42" s="515"/>
      <c r="R42" s="515"/>
      <c r="S42" s="515"/>
      <c r="T42" s="515"/>
    </row>
    <row r="43" spans="1:22" s="503" customFormat="1" outlineLevel="1" x14ac:dyDescent="0.25">
      <c r="B43" s="504"/>
      <c r="C43" s="504"/>
      <c r="D43" s="882"/>
      <c r="E43" s="515"/>
      <c r="F43" s="515"/>
      <c r="G43" s="515"/>
      <c r="H43" s="515"/>
      <c r="I43" s="515"/>
      <c r="J43" s="515"/>
      <c r="K43" s="515"/>
      <c r="L43" s="515"/>
      <c r="M43" s="515"/>
      <c r="N43" s="515"/>
      <c r="O43" s="515"/>
      <c r="P43" s="515"/>
      <c r="Q43" s="515"/>
      <c r="R43" s="515"/>
      <c r="S43" s="515"/>
      <c r="T43" s="515"/>
    </row>
    <row r="44" spans="1:22" s="503" customFormat="1" outlineLevel="1" x14ac:dyDescent="0.25">
      <c r="A44" s="506"/>
      <c r="B44" s="504"/>
      <c r="C44" s="504"/>
      <c r="D44" s="504"/>
      <c r="E44" s="504"/>
      <c r="F44" s="504"/>
      <c r="G44" s="504"/>
      <c r="H44" s="504"/>
      <c r="I44" s="504"/>
      <c r="J44" s="504"/>
      <c r="K44" s="504"/>
      <c r="L44" s="504"/>
      <c r="M44" s="504"/>
      <c r="N44" s="504"/>
      <c r="O44" s="504"/>
      <c r="P44" s="504"/>
      <c r="Q44" s="504"/>
      <c r="R44" s="504"/>
      <c r="S44" s="504"/>
      <c r="T44" s="504"/>
    </row>
    <row r="45" spans="1:22" s="503" customFormat="1" outlineLevel="1" x14ac:dyDescent="0.25">
      <c r="A45" s="506"/>
      <c r="B45" s="504"/>
      <c r="C45" s="504"/>
      <c r="D45" s="504"/>
      <c r="E45" s="504"/>
      <c r="F45" s="504"/>
      <c r="G45" s="504"/>
      <c r="H45" s="504"/>
      <c r="I45" s="504"/>
      <c r="J45" s="504"/>
      <c r="K45" s="504"/>
      <c r="L45" s="504"/>
      <c r="M45" s="504"/>
      <c r="N45" s="504"/>
      <c r="O45" s="504"/>
      <c r="P45" s="504"/>
      <c r="Q45" s="504"/>
      <c r="R45" s="504"/>
      <c r="S45" s="504"/>
      <c r="T45" s="504"/>
    </row>
    <row r="46" spans="1:22" s="503" customFormat="1" outlineLevel="1" x14ac:dyDescent="0.25">
      <c r="B46" s="504"/>
      <c r="C46" s="504"/>
      <c r="D46" s="516"/>
      <c r="E46" s="881"/>
      <c r="F46" s="881"/>
      <c r="G46" s="881"/>
      <c r="H46" s="881"/>
      <c r="I46" s="881"/>
      <c r="J46" s="881"/>
      <c r="K46" s="881"/>
      <c r="L46" s="881"/>
      <c r="M46" s="881"/>
      <c r="N46" s="881"/>
      <c r="O46" s="881"/>
      <c r="P46" s="881"/>
      <c r="Q46" s="881"/>
      <c r="R46" s="881"/>
      <c r="S46" s="881"/>
      <c r="T46" s="881"/>
    </row>
    <row r="47" spans="1:22" s="503" customFormat="1" outlineLevel="1" x14ac:dyDescent="0.25">
      <c r="B47" s="504"/>
      <c r="C47" s="504"/>
      <c r="D47" s="882"/>
      <c r="E47" s="502"/>
      <c r="F47" s="502"/>
      <c r="G47" s="502"/>
      <c r="H47" s="502"/>
      <c r="I47" s="502"/>
      <c r="J47" s="502"/>
      <c r="K47" s="502"/>
      <c r="L47" s="502"/>
      <c r="M47" s="502"/>
      <c r="N47" s="502"/>
      <c r="O47" s="502"/>
      <c r="P47" s="502"/>
      <c r="Q47" s="502"/>
      <c r="R47" s="502"/>
      <c r="S47" s="502"/>
      <c r="T47" s="502"/>
      <c r="U47" s="484"/>
    </row>
    <row r="48" spans="1:22" s="503" customFormat="1" outlineLevel="1" x14ac:dyDescent="0.25">
      <c r="B48" s="504"/>
      <c r="C48" s="504"/>
      <c r="D48" s="882"/>
      <c r="E48" s="502"/>
      <c r="F48" s="502"/>
      <c r="G48" s="502"/>
      <c r="H48" s="502"/>
      <c r="I48" s="502"/>
      <c r="J48" s="502"/>
      <c r="K48" s="502"/>
      <c r="L48" s="502"/>
      <c r="M48" s="502"/>
      <c r="N48" s="502"/>
      <c r="O48" s="502"/>
      <c r="P48" s="502"/>
      <c r="Q48" s="502"/>
      <c r="R48" s="502"/>
      <c r="S48" s="502"/>
      <c r="T48" s="502"/>
      <c r="U48" s="484"/>
    </row>
    <row r="49" spans="2:23" s="503" customFormat="1" outlineLevel="1" x14ac:dyDescent="0.25">
      <c r="B49" s="504"/>
      <c r="C49" s="504"/>
      <c r="D49" s="882"/>
      <c r="E49" s="502"/>
      <c r="F49" s="502"/>
      <c r="G49" s="502"/>
      <c r="H49" s="502"/>
      <c r="I49" s="502"/>
      <c r="J49" s="502"/>
      <c r="K49" s="502"/>
      <c r="L49" s="502"/>
      <c r="M49" s="502"/>
      <c r="N49" s="502"/>
      <c r="O49" s="502"/>
      <c r="P49" s="502"/>
      <c r="Q49" s="502"/>
      <c r="R49" s="502"/>
      <c r="S49" s="502"/>
      <c r="T49" s="502"/>
      <c r="U49" s="484"/>
    </row>
    <row r="50" spans="2:23" s="503" customFormat="1" outlineLevel="1" x14ac:dyDescent="0.25">
      <c r="B50" s="504"/>
      <c r="C50" s="504"/>
      <c r="D50" s="882"/>
      <c r="E50" s="502"/>
      <c r="F50" s="502"/>
      <c r="G50" s="502"/>
      <c r="H50" s="502"/>
      <c r="I50" s="502"/>
      <c r="J50" s="502"/>
      <c r="K50" s="502"/>
      <c r="L50" s="502"/>
      <c r="M50" s="502"/>
      <c r="N50" s="502"/>
      <c r="O50" s="502"/>
      <c r="P50" s="502"/>
      <c r="Q50" s="502"/>
      <c r="R50" s="502"/>
      <c r="S50" s="502"/>
      <c r="T50" s="502"/>
      <c r="U50" s="484"/>
    </row>
    <row r="51" spans="2:23" s="503" customFormat="1" outlineLevel="1" x14ac:dyDescent="0.25">
      <c r="B51" s="504"/>
      <c r="C51" s="504"/>
      <c r="D51" s="882"/>
      <c r="E51" s="502"/>
      <c r="F51" s="502"/>
      <c r="G51" s="502"/>
      <c r="H51" s="502"/>
      <c r="I51" s="502"/>
      <c r="J51" s="502"/>
      <c r="K51" s="502"/>
      <c r="L51" s="502"/>
      <c r="M51" s="502"/>
      <c r="N51" s="502"/>
      <c r="O51" s="502"/>
      <c r="P51" s="502"/>
      <c r="Q51" s="502"/>
      <c r="R51" s="502"/>
      <c r="S51" s="502"/>
      <c r="T51" s="502"/>
      <c r="U51" s="484"/>
    </row>
    <row r="52" spans="2:23" s="503" customFormat="1" outlineLevel="1" x14ac:dyDescent="0.25">
      <c r="B52" s="504"/>
      <c r="C52" s="504"/>
      <c r="D52" s="882"/>
      <c r="E52" s="502"/>
      <c r="F52" s="502"/>
      <c r="G52" s="502"/>
      <c r="H52" s="502"/>
      <c r="I52" s="502"/>
      <c r="J52" s="502"/>
      <c r="K52" s="502"/>
      <c r="L52" s="502"/>
      <c r="M52" s="502"/>
      <c r="N52" s="502"/>
      <c r="O52" s="502"/>
      <c r="P52" s="502"/>
      <c r="Q52" s="502"/>
      <c r="R52" s="502"/>
      <c r="S52" s="502"/>
      <c r="T52" s="502"/>
      <c r="U52" s="484"/>
    </row>
    <row r="53" spans="2:23" s="503" customFormat="1" outlineLevel="1" x14ac:dyDescent="0.25">
      <c r="B53" s="504"/>
      <c r="C53" s="504"/>
      <c r="D53" s="882"/>
      <c r="E53" s="502"/>
      <c r="F53" s="502"/>
      <c r="G53" s="502"/>
      <c r="H53" s="502"/>
      <c r="I53" s="502"/>
      <c r="J53" s="502"/>
      <c r="K53" s="502"/>
      <c r="L53" s="502"/>
      <c r="M53" s="502"/>
      <c r="N53" s="502"/>
      <c r="O53" s="502"/>
      <c r="P53" s="502"/>
      <c r="Q53" s="502"/>
      <c r="R53" s="502"/>
      <c r="S53" s="502"/>
      <c r="T53" s="502"/>
      <c r="U53" s="484"/>
    </row>
    <row r="54" spans="2:23" s="503" customFormat="1" outlineLevel="1" x14ac:dyDescent="0.25">
      <c r="B54" s="504"/>
      <c r="C54" s="504"/>
      <c r="D54" s="882"/>
      <c r="E54" s="502"/>
      <c r="F54" s="502"/>
      <c r="G54" s="502"/>
      <c r="H54" s="502"/>
      <c r="I54" s="502"/>
      <c r="J54" s="502"/>
      <c r="K54" s="502"/>
      <c r="L54" s="502"/>
      <c r="M54" s="502"/>
      <c r="N54" s="502"/>
      <c r="O54" s="502"/>
      <c r="P54" s="502"/>
      <c r="Q54" s="502"/>
      <c r="R54" s="502"/>
      <c r="S54" s="502"/>
      <c r="T54" s="502"/>
      <c r="U54" s="484"/>
    </row>
    <row r="55" spans="2:23" s="503" customFormat="1" outlineLevel="1" x14ac:dyDescent="0.25">
      <c r="B55" s="504"/>
      <c r="C55" s="504"/>
      <c r="D55" s="882"/>
      <c r="E55" s="502"/>
      <c r="F55" s="502"/>
      <c r="G55" s="502"/>
      <c r="H55" s="502"/>
      <c r="I55" s="502"/>
      <c r="J55" s="502"/>
      <c r="K55" s="502"/>
      <c r="L55" s="502"/>
      <c r="M55" s="502"/>
      <c r="N55" s="502"/>
      <c r="O55" s="502"/>
      <c r="P55" s="502"/>
      <c r="Q55" s="502"/>
      <c r="R55" s="502"/>
      <c r="S55" s="502"/>
      <c r="T55" s="502"/>
      <c r="U55" s="484"/>
    </row>
    <row r="56" spans="2:23" s="503" customFormat="1" outlineLevel="1" x14ac:dyDescent="0.25">
      <c r="B56" s="504"/>
      <c r="C56" s="504"/>
      <c r="D56" s="882"/>
      <c r="E56" s="502"/>
      <c r="F56" s="502"/>
      <c r="G56" s="502"/>
      <c r="H56" s="502"/>
      <c r="I56" s="502"/>
      <c r="J56" s="502"/>
      <c r="K56" s="502"/>
      <c r="L56" s="502"/>
      <c r="M56" s="502"/>
      <c r="N56" s="502"/>
      <c r="O56" s="502"/>
      <c r="P56" s="502"/>
      <c r="Q56" s="502"/>
      <c r="R56" s="502"/>
      <c r="S56" s="502"/>
      <c r="T56" s="502"/>
      <c r="U56" s="484"/>
    </row>
    <row r="57" spans="2:23" s="503" customFormat="1" outlineLevel="1" x14ac:dyDescent="0.25">
      <c r="B57" s="504"/>
      <c r="C57" s="504"/>
      <c r="D57" s="882"/>
      <c r="E57" s="502"/>
      <c r="F57" s="502"/>
      <c r="G57" s="502"/>
      <c r="H57" s="502"/>
      <c r="I57" s="502"/>
      <c r="J57" s="502"/>
      <c r="K57" s="502"/>
      <c r="L57" s="502"/>
      <c r="M57" s="502"/>
      <c r="N57" s="502"/>
      <c r="O57" s="502"/>
      <c r="P57" s="502"/>
      <c r="Q57" s="502"/>
      <c r="R57" s="502"/>
      <c r="S57" s="502"/>
      <c r="T57" s="502"/>
      <c r="U57" s="484"/>
    </row>
    <row r="58" spans="2:23" s="503" customFormat="1" outlineLevel="1" x14ac:dyDescent="0.25">
      <c r="B58" s="504"/>
      <c r="C58" s="504"/>
      <c r="D58" s="882"/>
      <c r="E58" s="502"/>
      <c r="F58" s="502"/>
      <c r="G58" s="502"/>
      <c r="H58" s="502"/>
      <c r="I58" s="502"/>
      <c r="J58" s="502"/>
      <c r="K58" s="502"/>
      <c r="L58" s="502"/>
      <c r="M58" s="502"/>
      <c r="N58" s="502"/>
      <c r="O58" s="502"/>
      <c r="P58" s="502"/>
      <c r="Q58" s="502"/>
      <c r="R58" s="502"/>
      <c r="S58" s="502"/>
      <c r="T58" s="502"/>
      <c r="U58" s="484"/>
    </row>
    <row r="59" spans="2:23" s="503" customFormat="1" outlineLevel="1" x14ac:dyDescent="0.25">
      <c r="B59" s="504"/>
      <c r="C59" s="504"/>
      <c r="D59" s="882"/>
      <c r="E59" s="502"/>
      <c r="F59" s="502"/>
      <c r="G59" s="502"/>
      <c r="H59" s="502"/>
      <c r="I59" s="502"/>
      <c r="J59" s="502"/>
      <c r="K59" s="502"/>
      <c r="L59" s="502"/>
      <c r="M59" s="502"/>
      <c r="N59" s="502"/>
      <c r="O59" s="502"/>
      <c r="P59" s="502"/>
      <c r="Q59" s="502"/>
      <c r="R59" s="502"/>
      <c r="S59" s="502"/>
      <c r="T59" s="502"/>
      <c r="U59" s="484"/>
    </row>
    <row r="60" spans="2:23" s="503" customFormat="1" outlineLevel="1" x14ac:dyDescent="0.25">
      <c r="B60" s="504"/>
      <c r="C60" s="504"/>
      <c r="D60" s="882"/>
      <c r="E60" s="502"/>
      <c r="F60" s="502"/>
      <c r="G60" s="502"/>
      <c r="H60" s="502"/>
      <c r="I60" s="502"/>
      <c r="J60" s="502"/>
      <c r="K60" s="502"/>
      <c r="L60" s="502"/>
      <c r="M60" s="502"/>
      <c r="N60" s="502"/>
      <c r="O60" s="502"/>
      <c r="P60" s="502"/>
      <c r="Q60" s="502"/>
      <c r="R60" s="502"/>
      <c r="S60" s="502"/>
      <c r="T60" s="502"/>
      <c r="U60" s="484"/>
    </row>
    <row r="61" spans="2:23" s="503" customFormat="1" outlineLevel="1" x14ac:dyDescent="0.25">
      <c r="B61" s="504"/>
      <c r="C61" s="504"/>
      <c r="D61" s="882"/>
      <c r="E61" s="502"/>
      <c r="F61" s="502"/>
      <c r="G61" s="502"/>
      <c r="H61" s="502"/>
      <c r="I61" s="502"/>
      <c r="J61" s="502"/>
      <c r="K61" s="502"/>
      <c r="L61" s="502"/>
      <c r="M61" s="502"/>
      <c r="N61" s="502"/>
      <c r="O61" s="502"/>
      <c r="P61" s="502"/>
      <c r="Q61" s="502"/>
      <c r="R61" s="502"/>
      <c r="S61" s="502"/>
      <c r="T61" s="502"/>
      <c r="U61" s="484"/>
    </row>
    <row r="62" spans="2:23" s="503" customFormat="1" outlineLevel="1" x14ac:dyDescent="0.25">
      <c r="B62" s="504"/>
      <c r="C62" s="507"/>
      <c r="D62" s="883"/>
      <c r="E62" s="502"/>
      <c r="F62" s="502"/>
      <c r="G62" s="502"/>
      <c r="H62" s="502"/>
      <c r="I62" s="502"/>
      <c r="J62" s="502"/>
      <c r="K62" s="502"/>
      <c r="L62" s="502"/>
      <c r="M62" s="502"/>
      <c r="N62" s="502"/>
      <c r="O62" s="502"/>
      <c r="P62" s="502"/>
      <c r="Q62" s="502"/>
      <c r="R62" s="502"/>
      <c r="S62" s="502"/>
      <c r="T62" s="502"/>
      <c r="U62" s="884"/>
      <c r="V62" s="482"/>
      <c r="W62" s="482"/>
    </row>
    <row r="63" spans="2:23" s="503" customFormat="1" outlineLevel="1" x14ac:dyDescent="0.25">
      <c r="B63" s="504"/>
      <c r="C63" s="507"/>
      <c r="D63" s="883"/>
      <c r="E63" s="502"/>
      <c r="F63" s="502"/>
      <c r="G63" s="502"/>
      <c r="H63" s="502"/>
      <c r="I63" s="502"/>
      <c r="J63" s="502"/>
      <c r="K63" s="502"/>
      <c r="L63" s="502"/>
      <c r="M63" s="502"/>
      <c r="N63" s="502"/>
      <c r="O63" s="502"/>
      <c r="P63" s="502"/>
      <c r="Q63" s="502"/>
      <c r="R63" s="502"/>
      <c r="S63" s="502"/>
      <c r="T63" s="502"/>
      <c r="U63" s="884"/>
      <c r="V63" s="482"/>
      <c r="W63" s="482"/>
    </row>
    <row r="64" spans="2:23" s="503" customFormat="1" outlineLevel="1" x14ac:dyDescent="0.25">
      <c r="B64" s="504"/>
      <c r="C64" s="507"/>
      <c r="D64" s="883"/>
      <c r="E64" s="502"/>
      <c r="F64" s="502"/>
      <c r="G64" s="502"/>
      <c r="H64" s="502"/>
      <c r="I64" s="502"/>
      <c r="J64" s="502"/>
      <c r="K64" s="502"/>
      <c r="L64" s="502"/>
      <c r="M64" s="502"/>
      <c r="N64" s="502"/>
      <c r="O64" s="502"/>
      <c r="P64" s="502"/>
      <c r="Q64" s="502"/>
      <c r="R64" s="502"/>
      <c r="S64" s="502"/>
      <c r="T64" s="502"/>
      <c r="U64" s="884"/>
      <c r="V64" s="482"/>
      <c r="W64" s="482"/>
    </row>
    <row r="65" spans="1:23" s="503" customFormat="1" outlineLevel="1" x14ac:dyDescent="0.25">
      <c r="B65" s="504"/>
      <c r="C65" s="507"/>
      <c r="D65" s="883"/>
      <c r="E65" s="502"/>
      <c r="F65" s="502"/>
      <c r="G65" s="502"/>
      <c r="H65" s="502"/>
      <c r="I65" s="502"/>
      <c r="J65" s="502"/>
      <c r="K65" s="502"/>
      <c r="L65" s="502"/>
      <c r="M65" s="502"/>
      <c r="N65" s="502"/>
      <c r="O65" s="502"/>
      <c r="P65" s="502"/>
      <c r="Q65" s="502"/>
      <c r="R65" s="502"/>
      <c r="S65" s="502"/>
      <c r="T65" s="502"/>
      <c r="U65" s="884"/>
      <c r="V65" s="482"/>
      <c r="W65" s="482"/>
    </row>
    <row r="66" spans="1:23" s="499" customFormat="1" outlineLevel="1" x14ac:dyDescent="0.25">
      <c r="A66" s="503"/>
      <c r="B66" s="504"/>
      <c r="C66" s="507"/>
      <c r="D66" s="883"/>
      <c r="E66" s="502"/>
      <c r="F66" s="502"/>
      <c r="G66" s="502"/>
      <c r="H66" s="502"/>
      <c r="I66" s="502"/>
      <c r="J66" s="502"/>
      <c r="K66" s="502"/>
      <c r="L66" s="502"/>
      <c r="M66" s="502"/>
      <c r="N66" s="502"/>
      <c r="O66" s="502"/>
      <c r="P66" s="502"/>
      <c r="Q66" s="502"/>
      <c r="R66" s="502"/>
      <c r="S66" s="502"/>
      <c r="T66" s="502"/>
      <c r="U66" s="884"/>
      <c r="V66" s="482"/>
      <c r="W66" s="482"/>
    </row>
    <row r="67" spans="1:23" s="499" customFormat="1" outlineLevel="1" x14ac:dyDescent="0.25">
      <c r="B67" s="504"/>
      <c r="C67" s="507"/>
      <c r="D67" s="507"/>
      <c r="E67" s="885"/>
      <c r="F67" s="885"/>
      <c r="G67" s="885"/>
      <c r="H67" s="885"/>
      <c r="I67" s="885"/>
      <c r="J67" s="885"/>
      <c r="K67" s="885"/>
      <c r="L67" s="885"/>
      <c r="M67" s="885"/>
      <c r="N67" s="885"/>
      <c r="O67" s="885"/>
      <c r="P67" s="885"/>
      <c r="Q67" s="885"/>
      <c r="R67" s="885"/>
      <c r="S67" s="885"/>
      <c r="T67" s="885"/>
      <c r="U67" s="482"/>
      <c r="V67" s="482"/>
      <c r="W67" s="482"/>
    </row>
    <row r="68" spans="1:23" s="499" customFormat="1" outlineLevel="1" x14ac:dyDescent="0.25">
      <c r="A68" s="506"/>
      <c r="B68" s="504"/>
      <c r="C68" s="507"/>
      <c r="D68" s="507"/>
      <c r="E68" s="507"/>
      <c r="F68" s="507"/>
      <c r="G68" s="507"/>
      <c r="H68" s="507"/>
      <c r="I68" s="507"/>
      <c r="J68" s="507"/>
      <c r="K68" s="507"/>
      <c r="L68" s="507"/>
      <c r="M68" s="507"/>
      <c r="N68" s="507"/>
      <c r="O68" s="507"/>
      <c r="P68" s="507"/>
      <c r="Q68" s="507"/>
      <c r="R68" s="507"/>
      <c r="S68" s="507"/>
      <c r="T68" s="507"/>
      <c r="U68" s="482"/>
      <c r="V68" s="482"/>
      <c r="W68" s="482"/>
    </row>
    <row r="69" spans="1:23" s="503" customFormat="1" outlineLevel="1" x14ac:dyDescent="0.25">
      <c r="A69" s="506"/>
      <c r="B69" s="504"/>
      <c r="C69" s="507"/>
      <c r="D69" s="507"/>
      <c r="E69" s="507"/>
      <c r="F69" s="507"/>
      <c r="G69" s="507"/>
      <c r="H69" s="507"/>
      <c r="I69" s="507"/>
      <c r="J69" s="507"/>
      <c r="K69" s="507"/>
      <c r="L69" s="507"/>
      <c r="M69" s="507"/>
      <c r="N69" s="507"/>
      <c r="O69" s="507"/>
      <c r="P69" s="507"/>
      <c r="Q69" s="507"/>
      <c r="R69" s="507"/>
      <c r="S69" s="507"/>
      <c r="T69" s="507"/>
      <c r="U69" s="482"/>
      <c r="V69" s="482"/>
      <c r="W69" s="482"/>
    </row>
    <row r="70" spans="1:23" s="499" customFormat="1" outlineLevel="1" x14ac:dyDescent="0.25">
      <c r="B70" s="504"/>
      <c r="C70" s="507"/>
      <c r="D70" s="886"/>
      <c r="E70" s="887"/>
      <c r="F70" s="887"/>
      <c r="G70" s="887"/>
      <c r="H70" s="887"/>
      <c r="I70" s="887"/>
      <c r="J70" s="887"/>
      <c r="K70" s="887"/>
      <c r="L70" s="887"/>
      <c r="M70" s="887"/>
      <c r="N70" s="887"/>
      <c r="O70" s="887"/>
      <c r="P70" s="887"/>
      <c r="Q70" s="887"/>
      <c r="R70" s="887"/>
      <c r="S70" s="887"/>
      <c r="T70" s="887"/>
      <c r="U70" s="482"/>
      <c r="V70" s="482"/>
      <c r="W70" s="482"/>
    </row>
    <row r="71" spans="1:23" s="499" customFormat="1" outlineLevel="1" x14ac:dyDescent="0.25">
      <c r="J71" s="502"/>
      <c r="K71" s="502"/>
      <c r="L71" s="502"/>
      <c r="M71" s="502"/>
      <c r="N71" s="502"/>
      <c r="O71" s="502"/>
      <c r="P71" s="502"/>
      <c r="Q71" s="502"/>
      <c r="R71" s="502"/>
      <c r="S71" s="502"/>
      <c r="T71" s="502"/>
      <c r="U71" s="482"/>
      <c r="V71" s="482"/>
      <c r="W71" s="482"/>
    </row>
    <row r="72" spans="1:23" s="499" customFormat="1" outlineLevel="1" x14ac:dyDescent="0.25">
      <c r="J72" s="502"/>
      <c r="K72" s="502"/>
      <c r="L72" s="502"/>
      <c r="M72" s="502"/>
      <c r="N72" s="502"/>
      <c r="O72" s="502"/>
      <c r="P72" s="502"/>
      <c r="Q72" s="502"/>
      <c r="R72" s="502"/>
      <c r="S72" s="502"/>
      <c r="T72" s="502"/>
      <c r="U72" s="482"/>
      <c r="V72" s="482"/>
      <c r="W72" s="482"/>
    </row>
    <row r="73" spans="1:23" s="499" customFormat="1" outlineLevel="1" x14ac:dyDescent="0.25">
      <c r="J73" s="502"/>
      <c r="K73" s="502"/>
      <c r="L73" s="502"/>
      <c r="M73" s="502"/>
      <c r="N73" s="502"/>
      <c r="O73" s="502"/>
      <c r="P73" s="502"/>
      <c r="Q73" s="502"/>
      <c r="R73" s="502"/>
      <c r="S73" s="502"/>
      <c r="T73" s="502"/>
      <c r="U73" s="482"/>
      <c r="V73" s="482"/>
      <c r="W73" s="482"/>
    </row>
    <row r="74" spans="1:23" s="499" customFormat="1" outlineLevel="1" x14ac:dyDescent="0.25">
      <c r="J74" s="502"/>
      <c r="K74" s="502"/>
      <c r="L74" s="502"/>
      <c r="M74" s="502"/>
      <c r="N74" s="502"/>
      <c r="O74" s="502"/>
      <c r="P74" s="502"/>
      <c r="Q74" s="502"/>
      <c r="R74" s="502"/>
      <c r="S74" s="502"/>
      <c r="T74" s="502"/>
      <c r="U74" s="482"/>
      <c r="V74" s="482"/>
      <c r="W74" s="482"/>
    </row>
    <row r="75" spans="1:23" s="499" customFormat="1" outlineLevel="1" x14ac:dyDescent="0.25">
      <c r="J75" s="502"/>
      <c r="K75" s="502"/>
      <c r="L75" s="502"/>
      <c r="M75" s="502"/>
      <c r="N75" s="502"/>
      <c r="O75" s="502"/>
      <c r="P75" s="502"/>
      <c r="Q75" s="502"/>
      <c r="R75" s="502"/>
      <c r="S75" s="502"/>
      <c r="T75" s="502"/>
      <c r="U75" s="482"/>
      <c r="V75" s="482"/>
      <c r="W75" s="482"/>
    </row>
    <row r="76" spans="1:23" s="499" customFormat="1" outlineLevel="1" x14ac:dyDescent="0.25">
      <c r="J76" s="502"/>
      <c r="K76" s="502"/>
      <c r="L76" s="502"/>
      <c r="M76" s="502"/>
      <c r="N76" s="502"/>
      <c r="O76" s="502"/>
      <c r="P76" s="502"/>
      <c r="Q76" s="502"/>
      <c r="R76" s="502"/>
      <c r="S76" s="502"/>
      <c r="T76" s="502"/>
      <c r="U76" s="482"/>
      <c r="V76" s="482"/>
      <c r="W76" s="482"/>
    </row>
    <row r="77" spans="1:23" s="499" customFormat="1" outlineLevel="1" x14ac:dyDescent="0.25">
      <c r="J77" s="502"/>
      <c r="K77" s="502"/>
      <c r="L77" s="502"/>
      <c r="M77" s="502"/>
      <c r="N77" s="502"/>
      <c r="O77" s="502"/>
      <c r="P77" s="502"/>
      <c r="Q77" s="502"/>
      <c r="R77" s="502"/>
      <c r="S77" s="502"/>
      <c r="T77" s="502"/>
      <c r="U77" s="482"/>
      <c r="V77" s="482"/>
      <c r="W77" s="482"/>
    </row>
    <row r="78" spans="1:23" s="499" customFormat="1" outlineLevel="1" x14ac:dyDescent="0.25">
      <c r="J78" s="502"/>
      <c r="K78" s="502"/>
      <c r="L78" s="502"/>
      <c r="M78" s="502"/>
      <c r="N78" s="502"/>
      <c r="O78" s="502"/>
      <c r="P78" s="502"/>
      <c r="Q78" s="502"/>
      <c r="R78" s="502"/>
      <c r="S78" s="502"/>
      <c r="T78" s="502"/>
      <c r="U78" s="482"/>
      <c r="V78" s="482"/>
      <c r="W78" s="482"/>
    </row>
    <row r="79" spans="1:23" s="441" customFormat="1" outlineLevel="1" x14ac:dyDescent="0.25">
      <c r="J79" s="502"/>
      <c r="K79" s="502"/>
      <c r="L79" s="502"/>
      <c r="M79" s="502"/>
      <c r="N79" s="502"/>
      <c r="O79" s="502"/>
      <c r="P79" s="502"/>
      <c r="Q79" s="502"/>
      <c r="R79" s="502"/>
      <c r="S79" s="502"/>
      <c r="T79" s="502"/>
      <c r="U79" s="482"/>
      <c r="V79" s="482"/>
      <c r="W79" s="482"/>
    </row>
    <row r="80" spans="1:23" s="441" customFormat="1" outlineLevel="1" x14ac:dyDescent="0.25">
      <c r="J80" s="502"/>
      <c r="K80" s="502"/>
      <c r="L80" s="502"/>
      <c r="M80" s="502"/>
      <c r="N80" s="502"/>
      <c r="O80" s="502"/>
      <c r="P80" s="502"/>
      <c r="Q80" s="502"/>
      <c r="R80" s="502"/>
      <c r="S80" s="502"/>
      <c r="T80" s="502"/>
      <c r="U80" s="482"/>
      <c r="V80" s="482"/>
      <c r="W80" s="482"/>
    </row>
    <row r="81" spans="1:23" s="441" customFormat="1" outlineLevel="1" x14ac:dyDescent="0.25">
      <c r="J81" s="502"/>
      <c r="K81" s="502"/>
      <c r="L81" s="502"/>
      <c r="M81" s="502"/>
      <c r="N81" s="502"/>
      <c r="O81" s="502"/>
      <c r="P81" s="502"/>
      <c r="Q81" s="502"/>
      <c r="R81" s="502"/>
      <c r="S81" s="502"/>
      <c r="T81" s="502"/>
      <c r="U81" s="482"/>
      <c r="V81" s="482"/>
      <c r="W81" s="482"/>
    </row>
    <row r="82" spans="1:23" s="441" customFormat="1" outlineLevel="1" x14ac:dyDescent="0.25">
      <c r="J82" s="502"/>
      <c r="K82" s="502"/>
      <c r="L82" s="502"/>
      <c r="M82" s="502"/>
      <c r="N82" s="502"/>
      <c r="O82" s="502"/>
      <c r="P82" s="502"/>
      <c r="Q82" s="502"/>
      <c r="R82" s="502"/>
      <c r="S82" s="502"/>
      <c r="T82" s="502"/>
      <c r="U82" s="482"/>
      <c r="V82" s="482"/>
      <c r="W82" s="482"/>
    </row>
    <row r="83" spans="1:23" s="441" customFormat="1" outlineLevel="1" x14ac:dyDescent="0.25">
      <c r="J83" s="502"/>
      <c r="K83" s="502"/>
      <c r="L83" s="502"/>
      <c r="M83" s="502"/>
      <c r="N83" s="502"/>
      <c r="O83" s="502"/>
      <c r="P83" s="502"/>
      <c r="Q83" s="502"/>
      <c r="R83" s="502"/>
      <c r="S83" s="502"/>
      <c r="T83" s="502"/>
      <c r="U83" s="482"/>
      <c r="V83" s="482"/>
      <c r="W83" s="482"/>
    </row>
    <row r="84" spans="1:23" s="441" customFormat="1" outlineLevel="1" x14ac:dyDescent="0.25">
      <c r="J84" s="502"/>
      <c r="K84" s="502"/>
      <c r="L84" s="502"/>
      <c r="M84" s="502"/>
      <c r="N84" s="502"/>
      <c r="O84" s="502"/>
      <c r="P84" s="502"/>
      <c r="Q84" s="502"/>
      <c r="R84" s="502"/>
      <c r="S84" s="502"/>
      <c r="T84" s="502"/>
      <c r="U84" s="482"/>
      <c r="V84" s="482"/>
      <c r="W84" s="482"/>
    </row>
    <row r="85" spans="1:23" s="441" customFormat="1" outlineLevel="1" x14ac:dyDescent="0.25">
      <c r="J85" s="502"/>
      <c r="K85" s="502"/>
      <c r="L85" s="502"/>
      <c r="M85" s="502"/>
      <c r="N85" s="502"/>
      <c r="O85" s="502"/>
      <c r="P85" s="502"/>
      <c r="Q85" s="502"/>
      <c r="R85" s="502"/>
      <c r="S85" s="502"/>
      <c r="T85" s="502"/>
      <c r="U85" s="482"/>
      <c r="V85" s="482"/>
      <c r="W85" s="482"/>
    </row>
    <row r="86" spans="1:23" s="441" customFormat="1" outlineLevel="1" x14ac:dyDescent="0.25">
      <c r="J86" s="502"/>
      <c r="K86" s="502"/>
      <c r="L86" s="502"/>
      <c r="M86" s="502"/>
      <c r="N86" s="502"/>
      <c r="O86" s="502"/>
      <c r="P86" s="502"/>
      <c r="Q86" s="502"/>
      <c r="R86" s="502"/>
      <c r="S86" s="502"/>
      <c r="T86" s="502"/>
      <c r="U86" s="482"/>
      <c r="V86" s="482"/>
      <c r="W86" s="482"/>
    </row>
    <row r="87" spans="1:23" s="441" customFormat="1" outlineLevel="1" x14ac:dyDescent="0.25">
      <c r="J87" s="502"/>
      <c r="K87" s="502"/>
      <c r="L87" s="502"/>
      <c r="M87" s="502"/>
      <c r="N87" s="502"/>
      <c r="O87" s="502"/>
      <c r="P87" s="502"/>
      <c r="Q87" s="502"/>
      <c r="R87" s="502"/>
      <c r="S87" s="502"/>
      <c r="T87" s="502"/>
      <c r="U87" s="482"/>
      <c r="V87" s="482"/>
      <c r="W87" s="482"/>
    </row>
    <row r="88" spans="1:23" s="441" customFormat="1" outlineLevel="1" x14ac:dyDescent="0.25">
      <c r="B88" s="504"/>
      <c r="C88" s="507"/>
      <c r="D88" s="883"/>
      <c r="E88" s="502"/>
      <c r="F88" s="502"/>
      <c r="G88" s="502"/>
      <c r="H88" s="502"/>
      <c r="I88" s="502"/>
      <c r="J88" s="502"/>
      <c r="K88" s="502"/>
      <c r="L88" s="502"/>
      <c r="M88" s="502"/>
      <c r="N88" s="502"/>
      <c r="O88" s="502"/>
      <c r="P88" s="502"/>
      <c r="Q88" s="502"/>
      <c r="R88" s="502"/>
      <c r="S88" s="502"/>
      <c r="T88" s="502"/>
      <c r="U88" s="482"/>
      <c r="V88" s="482"/>
      <c r="W88" s="482"/>
    </row>
    <row r="89" spans="1:23" s="441" customFormat="1" outlineLevel="1" x14ac:dyDescent="0.25">
      <c r="B89" s="504"/>
      <c r="C89" s="507"/>
      <c r="D89" s="883"/>
      <c r="E89" s="502"/>
      <c r="F89" s="502"/>
      <c r="G89" s="502"/>
      <c r="H89" s="502"/>
      <c r="I89" s="502"/>
      <c r="J89" s="502"/>
      <c r="K89" s="502"/>
      <c r="L89" s="502"/>
      <c r="M89" s="502"/>
      <c r="N89" s="502"/>
      <c r="O89" s="502"/>
      <c r="P89" s="502"/>
      <c r="Q89" s="502"/>
      <c r="R89" s="502"/>
      <c r="S89" s="502"/>
      <c r="T89" s="502"/>
      <c r="U89" s="482"/>
      <c r="V89" s="482"/>
      <c r="W89" s="482"/>
    </row>
    <row r="90" spans="1:23" s="441" customFormat="1" outlineLevel="1" x14ac:dyDescent="0.25">
      <c r="B90" s="504"/>
      <c r="C90" s="507"/>
      <c r="D90" s="883"/>
      <c r="E90" s="502"/>
      <c r="F90" s="502"/>
      <c r="G90" s="502"/>
      <c r="H90" s="502"/>
      <c r="I90" s="502"/>
      <c r="J90" s="502"/>
      <c r="K90" s="502"/>
      <c r="L90" s="502"/>
      <c r="M90" s="502"/>
      <c r="N90" s="502"/>
      <c r="O90" s="502"/>
      <c r="P90" s="502"/>
      <c r="Q90" s="502"/>
      <c r="R90" s="502"/>
      <c r="S90" s="502"/>
      <c r="T90" s="502"/>
      <c r="U90" s="482"/>
      <c r="V90" s="482"/>
      <c r="W90" s="482"/>
    </row>
    <row r="91" spans="1:23" s="503" customFormat="1" outlineLevel="1" x14ac:dyDescent="0.25">
      <c r="B91" s="504"/>
      <c r="C91" s="507"/>
      <c r="D91" s="883"/>
      <c r="E91" s="502"/>
      <c r="F91" s="502"/>
      <c r="G91" s="502"/>
      <c r="H91" s="502"/>
      <c r="I91" s="502"/>
      <c r="J91" s="502"/>
      <c r="K91" s="502"/>
      <c r="L91" s="502"/>
      <c r="M91" s="502"/>
      <c r="N91" s="502"/>
      <c r="O91" s="502"/>
      <c r="P91" s="502"/>
      <c r="Q91" s="502"/>
      <c r="R91" s="502"/>
      <c r="S91" s="502"/>
      <c r="T91" s="502"/>
      <c r="U91" s="482"/>
      <c r="V91" s="482"/>
      <c r="W91" s="482"/>
    </row>
    <row r="92" spans="1:23" s="503" customFormat="1" outlineLevel="1" x14ac:dyDescent="0.25">
      <c r="A92" s="506"/>
      <c r="B92" s="504"/>
      <c r="C92" s="507"/>
      <c r="D92" s="883"/>
      <c r="E92" s="502"/>
      <c r="F92" s="502"/>
      <c r="G92" s="502"/>
      <c r="H92" s="502"/>
      <c r="I92" s="502"/>
      <c r="J92" s="502"/>
      <c r="K92" s="502"/>
      <c r="L92" s="502"/>
      <c r="M92" s="502"/>
      <c r="N92" s="502"/>
      <c r="O92" s="502"/>
      <c r="P92" s="502"/>
      <c r="Q92" s="502"/>
      <c r="R92" s="502"/>
      <c r="S92" s="502"/>
      <c r="T92" s="502"/>
      <c r="U92" s="482"/>
      <c r="V92" s="482"/>
      <c r="W92" s="482"/>
    </row>
    <row r="93" spans="1:23" s="503" customFormat="1" outlineLevel="1" x14ac:dyDescent="0.25">
      <c r="A93" s="506"/>
      <c r="B93" s="504"/>
      <c r="C93" s="507"/>
      <c r="D93" s="883"/>
      <c r="E93" s="502"/>
      <c r="F93" s="502"/>
      <c r="G93" s="502"/>
      <c r="H93" s="502"/>
      <c r="I93" s="502"/>
      <c r="J93" s="502"/>
      <c r="K93" s="502"/>
      <c r="L93" s="502"/>
      <c r="M93" s="502"/>
      <c r="N93" s="502"/>
      <c r="O93" s="502"/>
      <c r="P93" s="502"/>
      <c r="Q93" s="502"/>
      <c r="R93" s="502"/>
      <c r="S93" s="502"/>
      <c r="T93" s="502"/>
      <c r="U93" s="482"/>
      <c r="V93" s="482"/>
      <c r="W93" s="482"/>
    </row>
    <row r="94" spans="1:23" s="503" customFormat="1" outlineLevel="1" x14ac:dyDescent="0.25">
      <c r="B94" s="504"/>
      <c r="C94" s="507"/>
      <c r="D94" s="886"/>
      <c r="E94" s="887"/>
      <c r="F94" s="887"/>
      <c r="G94" s="887"/>
      <c r="H94" s="887"/>
      <c r="I94" s="887"/>
      <c r="J94" s="887"/>
      <c r="K94" s="887"/>
      <c r="L94" s="887"/>
      <c r="M94" s="887"/>
      <c r="N94" s="887"/>
      <c r="O94" s="887"/>
      <c r="P94" s="887"/>
      <c r="Q94" s="887"/>
      <c r="R94" s="887"/>
      <c r="S94" s="887"/>
      <c r="T94" s="887"/>
      <c r="U94" s="482"/>
      <c r="V94" s="482"/>
      <c r="W94" s="482"/>
    </row>
    <row r="95" spans="1:23" s="503" customFormat="1" outlineLevel="1" x14ac:dyDescent="0.25">
      <c r="B95" s="504"/>
      <c r="C95" s="507"/>
      <c r="D95" s="883"/>
      <c r="E95" s="502"/>
      <c r="F95" s="502"/>
      <c r="G95" s="502"/>
      <c r="H95" s="502"/>
      <c r="I95" s="502"/>
      <c r="J95" s="502"/>
      <c r="K95" s="502"/>
      <c r="L95" s="502"/>
      <c r="M95" s="502"/>
      <c r="N95" s="502"/>
      <c r="O95" s="502"/>
      <c r="P95" s="502"/>
      <c r="Q95" s="502"/>
      <c r="R95" s="502"/>
      <c r="S95" s="502"/>
      <c r="T95" s="502"/>
      <c r="U95" s="482"/>
      <c r="V95" s="482"/>
      <c r="W95" s="482"/>
    </row>
    <row r="96" spans="1:23" s="503" customFormat="1" outlineLevel="1" x14ac:dyDescent="0.25">
      <c r="B96" s="504"/>
      <c r="C96" s="507"/>
      <c r="D96" s="883"/>
      <c r="E96" s="502"/>
      <c r="F96" s="502"/>
      <c r="G96" s="502"/>
      <c r="H96" s="502"/>
      <c r="I96" s="502"/>
      <c r="J96" s="502"/>
      <c r="K96" s="502"/>
      <c r="L96" s="502"/>
      <c r="M96" s="502"/>
      <c r="N96" s="502"/>
      <c r="O96" s="502"/>
      <c r="P96" s="502"/>
      <c r="Q96" s="502"/>
      <c r="R96" s="502"/>
      <c r="S96" s="502"/>
      <c r="T96" s="502"/>
      <c r="U96" s="482"/>
      <c r="V96" s="482"/>
      <c r="W96" s="482"/>
    </row>
    <row r="97" spans="2:23" s="503" customFormat="1" outlineLevel="1" x14ac:dyDescent="0.25">
      <c r="B97" s="504"/>
      <c r="C97" s="507"/>
      <c r="D97" s="883"/>
      <c r="E97" s="502"/>
      <c r="F97" s="502"/>
      <c r="G97" s="502"/>
      <c r="H97" s="502"/>
      <c r="I97" s="502"/>
      <c r="J97" s="502"/>
      <c r="K97" s="502"/>
      <c r="L97" s="502"/>
      <c r="M97" s="502"/>
      <c r="N97" s="502"/>
      <c r="O97" s="502"/>
      <c r="P97" s="502"/>
      <c r="Q97" s="502"/>
      <c r="R97" s="502"/>
      <c r="S97" s="502"/>
      <c r="T97" s="502"/>
      <c r="U97" s="482"/>
      <c r="V97" s="482"/>
      <c r="W97" s="482"/>
    </row>
    <row r="98" spans="2:23" s="503" customFormat="1" outlineLevel="1" x14ac:dyDescent="0.25">
      <c r="B98" s="504"/>
      <c r="C98" s="507"/>
      <c r="D98" s="883"/>
      <c r="E98" s="502"/>
      <c r="F98" s="502"/>
      <c r="G98" s="502"/>
      <c r="H98" s="502"/>
      <c r="I98" s="502"/>
      <c r="J98" s="502"/>
      <c r="K98" s="502"/>
      <c r="L98" s="502"/>
      <c r="M98" s="502"/>
      <c r="N98" s="502"/>
      <c r="O98" s="502"/>
      <c r="P98" s="502"/>
      <c r="Q98" s="502"/>
      <c r="R98" s="502"/>
      <c r="S98" s="502"/>
      <c r="T98" s="502"/>
      <c r="U98" s="482"/>
      <c r="V98" s="482"/>
      <c r="W98" s="482"/>
    </row>
    <row r="99" spans="2:23" s="503" customFormat="1" outlineLevel="1" x14ac:dyDescent="0.25">
      <c r="B99" s="504"/>
      <c r="C99" s="507"/>
      <c r="D99" s="883"/>
      <c r="E99" s="502"/>
      <c r="F99" s="502"/>
      <c r="G99" s="502"/>
      <c r="H99" s="502"/>
      <c r="I99" s="502"/>
      <c r="J99" s="502"/>
      <c r="K99" s="502"/>
      <c r="L99" s="502"/>
      <c r="M99" s="502"/>
      <c r="N99" s="502"/>
      <c r="O99" s="502"/>
      <c r="P99" s="502"/>
      <c r="Q99" s="502"/>
      <c r="R99" s="502"/>
      <c r="S99" s="502"/>
      <c r="T99" s="502"/>
      <c r="U99" s="482"/>
      <c r="V99" s="482"/>
      <c r="W99" s="482"/>
    </row>
    <row r="100" spans="2:23" s="503" customFormat="1" outlineLevel="1" x14ac:dyDescent="0.25">
      <c r="B100" s="504"/>
      <c r="C100" s="507"/>
      <c r="D100" s="883"/>
      <c r="E100" s="502"/>
      <c r="F100" s="502"/>
      <c r="G100" s="502"/>
      <c r="H100" s="502"/>
      <c r="I100" s="502"/>
      <c r="J100" s="502"/>
      <c r="K100" s="502"/>
      <c r="L100" s="502"/>
      <c r="M100" s="502"/>
      <c r="N100" s="502"/>
      <c r="O100" s="502"/>
      <c r="P100" s="502"/>
      <c r="Q100" s="502"/>
      <c r="R100" s="502"/>
      <c r="S100" s="502"/>
      <c r="T100" s="502"/>
      <c r="U100" s="482"/>
      <c r="V100" s="482"/>
      <c r="W100" s="482"/>
    </row>
    <row r="101" spans="2:23" s="503" customFormat="1" outlineLevel="1" x14ac:dyDescent="0.25">
      <c r="B101" s="504"/>
      <c r="C101" s="504"/>
      <c r="D101" s="882"/>
      <c r="E101" s="502"/>
      <c r="F101" s="502"/>
      <c r="G101" s="502"/>
      <c r="H101" s="502"/>
      <c r="I101" s="502"/>
      <c r="J101" s="502"/>
      <c r="K101" s="502"/>
      <c r="L101" s="502"/>
      <c r="M101" s="502"/>
      <c r="N101" s="502"/>
      <c r="O101" s="502"/>
      <c r="P101" s="502"/>
      <c r="Q101" s="502"/>
      <c r="R101" s="502"/>
      <c r="S101" s="502"/>
      <c r="T101" s="502"/>
    </row>
    <row r="102" spans="2:23" s="503" customFormat="1" outlineLevel="1" x14ac:dyDescent="0.25">
      <c r="B102" s="504"/>
      <c r="C102" s="504"/>
      <c r="D102" s="882"/>
      <c r="E102" s="502"/>
      <c r="F102" s="502"/>
      <c r="G102" s="502"/>
      <c r="H102" s="502"/>
      <c r="I102" s="502"/>
      <c r="J102" s="502"/>
      <c r="K102" s="502"/>
      <c r="L102" s="502"/>
      <c r="M102" s="502"/>
      <c r="N102" s="502"/>
      <c r="O102" s="502"/>
      <c r="P102" s="502"/>
      <c r="Q102" s="502"/>
      <c r="R102" s="502"/>
      <c r="S102" s="502"/>
      <c r="T102" s="502"/>
    </row>
    <row r="103" spans="2:23" s="503" customFormat="1" outlineLevel="1" x14ac:dyDescent="0.25">
      <c r="B103" s="504"/>
      <c r="C103" s="504"/>
      <c r="D103" s="882"/>
      <c r="E103" s="502"/>
      <c r="F103" s="502"/>
      <c r="G103" s="502"/>
      <c r="H103" s="502"/>
      <c r="I103" s="502"/>
      <c r="J103" s="502"/>
      <c r="K103" s="502"/>
      <c r="L103" s="502"/>
      <c r="M103" s="502"/>
      <c r="N103" s="502"/>
      <c r="O103" s="502"/>
      <c r="P103" s="502"/>
      <c r="Q103" s="502"/>
      <c r="R103" s="502"/>
      <c r="S103" s="502"/>
      <c r="T103" s="502"/>
    </row>
    <row r="104" spans="2:23" s="503" customFormat="1" outlineLevel="1" x14ac:dyDescent="0.25">
      <c r="B104" s="504"/>
      <c r="C104" s="504"/>
      <c r="D104" s="882"/>
      <c r="E104" s="502"/>
      <c r="F104" s="502"/>
      <c r="G104" s="502"/>
      <c r="H104" s="502"/>
      <c r="I104" s="502"/>
      <c r="J104" s="502"/>
      <c r="K104" s="502"/>
      <c r="L104" s="502"/>
      <c r="M104" s="502"/>
      <c r="N104" s="502"/>
      <c r="O104" s="502"/>
      <c r="P104" s="502"/>
      <c r="Q104" s="502"/>
      <c r="R104" s="502"/>
      <c r="S104" s="502"/>
      <c r="T104" s="502"/>
    </row>
    <row r="105" spans="2:23" s="503" customFormat="1" outlineLevel="1" x14ac:dyDescent="0.25">
      <c r="B105" s="504"/>
      <c r="C105" s="504"/>
      <c r="D105" s="882"/>
      <c r="E105" s="502"/>
      <c r="F105" s="502"/>
      <c r="G105" s="502"/>
      <c r="H105" s="502"/>
      <c r="I105" s="502"/>
      <c r="J105" s="502"/>
      <c r="K105" s="502"/>
      <c r="L105" s="502"/>
      <c r="M105" s="502"/>
      <c r="N105" s="502"/>
      <c r="O105" s="502"/>
      <c r="P105" s="502"/>
      <c r="Q105" s="502"/>
      <c r="R105" s="502"/>
      <c r="S105" s="502"/>
      <c r="T105" s="502"/>
    </row>
    <row r="106" spans="2:23" s="503" customFormat="1" outlineLevel="1" x14ac:dyDescent="0.25">
      <c r="B106" s="504"/>
      <c r="C106" s="504"/>
      <c r="D106" s="882"/>
      <c r="E106" s="502"/>
      <c r="F106" s="502"/>
      <c r="G106" s="502"/>
      <c r="H106" s="502"/>
      <c r="I106" s="502"/>
      <c r="J106" s="502"/>
      <c r="K106" s="502"/>
      <c r="L106" s="502"/>
      <c r="M106" s="502"/>
      <c r="N106" s="502"/>
      <c r="O106" s="502"/>
      <c r="P106" s="502"/>
      <c r="Q106" s="502"/>
      <c r="R106" s="502"/>
      <c r="S106" s="502"/>
      <c r="T106" s="502"/>
    </row>
    <row r="107" spans="2:23" s="503" customFormat="1" outlineLevel="1" x14ac:dyDescent="0.25">
      <c r="B107" s="504"/>
      <c r="C107" s="504"/>
      <c r="D107" s="882"/>
      <c r="E107" s="502"/>
      <c r="F107" s="502"/>
      <c r="G107" s="502"/>
      <c r="H107" s="502"/>
      <c r="I107" s="502"/>
      <c r="J107" s="502"/>
      <c r="K107" s="502"/>
      <c r="L107" s="502"/>
      <c r="M107" s="502"/>
      <c r="N107" s="502"/>
      <c r="O107" s="502"/>
      <c r="P107" s="502"/>
      <c r="Q107" s="502"/>
      <c r="R107" s="502"/>
      <c r="S107" s="502"/>
      <c r="T107" s="502"/>
    </row>
    <row r="108" spans="2:23" s="503" customFormat="1" outlineLevel="1" x14ac:dyDescent="0.25">
      <c r="B108" s="504"/>
      <c r="C108" s="504"/>
      <c r="D108" s="882"/>
      <c r="E108" s="502"/>
      <c r="F108" s="502"/>
      <c r="G108" s="502"/>
      <c r="H108" s="502"/>
      <c r="I108" s="502"/>
      <c r="J108" s="502"/>
      <c r="K108" s="502"/>
      <c r="L108" s="502"/>
      <c r="M108" s="502"/>
      <c r="N108" s="502"/>
      <c r="O108" s="502"/>
      <c r="P108" s="502"/>
      <c r="Q108" s="502"/>
      <c r="R108" s="502"/>
      <c r="S108" s="502"/>
      <c r="T108" s="502"/>
    </row>
    <row r="109" spans="2:23" s="503" customFormat="1" outlineLevel="1" x14ac:dyDescent="0.25">
      <c r="B109" s="504"/>
      <c r="C109" s="504"/>
      <c r="D109" s="882"/>
      <c r="E109" s="502"/>
      <c r="F109" s="502"/>
      <c r="G109" s="502"/>
      <c r="H109" s="502"/>
      <c r="I109" s="502"/>
      <c r="J109" s="502"/>
      <c r="K109" s="502"/>
      <c r="L109" s="502"/>
      <c r="M109" s="502"/>
      <c r="N109" s="502"/>
      <c r="O109" s="502"/>
      <c r="P109" s="502"/>
      <c r="Q109" s="502"/>
      <c r="R109" s="502"/>
      <c r="S109" s="502"/>
      <c r="T109" s="502"/>
    </row>
    <row r="110" spans="2:23" s="503" customFormat="1" outlineLevel="1" x14ac:dyDescent="0.25">
      <c r="B110" s="504"/>
      <c r="C110" s="504"/>
      <c r="D110" s="882"/>
      <c r="E110" s="502"/>
      <c r="F110" s="502"/>
      <c r="G110" s="502"/>
      <c r="H110" s="502"/>
      <c r="I110" s="502"/>
      <c r="J110" s="502"/>
      <c r="K110" s="502"/>
      <c r="L110" s="502"/>
      <c r="M110" s="502"/>
      <c r="N110" s="502"/>
      <c r="O110" s="502"/>
      <c r="P110" s="502"/>
      <c r="Q110" s="502"/>
      <c r="R110" s="502"/>
      <c r="S110" s="502"/>
      <c r="T110" s="502"/>
    </row>
    <row r="111" spans="2:23" s="503" customFormat="1" outlineLevel="1" x14ac:dyDescent="0.25">
      <c r="B111" s="504"/>
      <c r="C111" s="504"/>
      <c r="D111" s="882"/>
      <c r="E111" s="502"/>
      <c r="F111" s="502"/>
      <c r="G111" s="502"/>
      <c r="H111" s="502"/>
      <c r="I111" s="502"/>
      <c r="J111" s="502"/>
      <c r="K111" s="502"/>
      <c r="L111" s="502"/>
      <c r="M111" s="502"/>
      <c r="N111" s="502"/>
      <c r="O111" s="502"/>
      <c r="P111" s="502"/>
      <c r="Q111" s="502"/>
      <c r="R111" s="502"/>
      <c r="S111" s="502"/>
      <c r="T111" s="502"/>
    </row>
    <row r="112" spans="2:23" s="503" customFormat="1" outlineLevel="1" x14ac:dyDescent="0.25">
      <c r="B112" s="504"/>
      <c r="C112" s="504"/>
      <c r="D112" s="882"/>
      <c r="E112" s="502"/>
      <c r="F112" s="502"/>
      <c r="G112" s="502"/>
      <c r="H112" s="502"/>
      <c r="I112" s="502"/>
      <c r="J112" s="502"/>
      <c r="K112" s="502"/>
      <c r="L112" s="502"/>
      <c r="M112" s="502"/>
      <c r="N112" s="502"/>
      <c r="O112" s="502"/>
      <c r="P112" s="502"/>
      <c r="Q112" s="502"/>
      <c r="R112" s="502"/>
      <c r="S112" s="502"/>
      <c r="T112" s="502"/>
    </row>
    <row r="113" spans="2:20" s="503" customFormat="1" outlineLevel="1" x14ac:dyDescent="0.25">
      <c r="B113" s="504"/>
      <c r="C113" s="504"/>
      <c r="D113" s="882"/>
      <c r="E113" s="502"/>
      <c r="F113" s="502"/>
      <c r="G113" s="502"/>
      <c r="H113" s="502"/>
      <c r="I113" s="502"/>
      <c r="J113" s="502"/>
      <c r="K113" s="502"/>
      <c r="L113" s="502"/>
      <c r="M113" s="502"/>
      <c r="N113" s="502"/>
      <c r="O113" s="502"/>
      <c r="P113" s="502"/>
      <c r="Q113" s="502"/>
      <c r="R113" s="502"/>
      <c r="S113" s="502"/>
      <c r="T113" s="502"/>
    </row>
    <row r="114" spans="2:20" s="404" customFormat="1" outlineLevel="1" x14ac:dyDescent="0.25">
      <c r="B114" s="507"/>
      <c r="C114" s="507"/>
      <c r="D114" s="882"/>
      <c r="E114" s="502"/>
      <c r="F114" s="502"/>
      <c r="G114" s="502"/>
      <c r="H114" s="502"/>
      <c r="I114" s="502"/>
      <c r="J114" s="502"/>
      <c r="K114" s="502"/>
      <c r="L114" s="502"/>
      <c r="M114" s="502"/>
      <c r="N114" s="502"/>
      <c r="O114" s="502"/>
      <c r="P114" s="502"/>
      <c r="Q114" s="502"/>
      <c r="R114" s="502"/>
      <c r="S114" s="502"/>
      <c r="T114" s="502"/>
    </row>
    <row r="115" spans="2:20" s="503" customFormat="1" outlineLevel="1" x14ac:dyDescent="0.25">
      <c r="B115" s="482"/>
      <c r="C115" s="482"/>
      <c r="D115" s="497"/>
      <c r="E115" s="502"/>
      <c r="F115" s="502"/>
      <c r="G115" s="502"/>
      <c r="H115" s="502"/>
      <c r="I115" s="502"/>
      <c r="J115" s="502"/>
      <c r="K115" s="502"/>
      <c r="L115" s="502"/>
      <c r="M115" s="502"/>
      <c r="N115" s="502"/>
      <c r="O115" s="502"/>
      <c r="P115" s="502"/>
      <c r="Q115" s="502"/>
      <c r="R115" s="502"/>
      <c r="S115" s="502"/>
      <c r="T115" s="502"/>
    </row>
    <row r="116" spans="2:20" outlineLevel="1" x14ac:dyDescent="0.25">
      <c r="B116" s="507"/>
      <c r="C116" s="485"/>
      <c r="D116" s="488"/>
      <c r="E116" s="131"/>
      <c r="F116" s="131"/>
      <c r="G116" s="131"/>
      <c r="H116" s="361"/>
      <c r="I116" s="457"/>
      <c r="J116" s="131"/>
      <c r="K116" s="168"/>
      <c r="L116" s="168"/>
    </row>
    <row r="117" spans="2:20" x14ac:dyDescent="0.25">
      <c r="J117" s="450"/>
    </row>
    <row r="118" spans="2:20" outlineLevel="1" x14ac:dyDescent="0.25">
      <c r="J118" s="452"/>
    </row>
    <row r="119" spans="2:20" outlineLevel="1" x14ac:dyDescent="0.25">
      <c r="J119" s="455"/>
    </row>
    <row r="120" spans="2:20" outlineLevel="1" x14ac:dyDescent="0.25">
      <c r="J120" s="455"/>
    </row>
    <row r="121" spans="2:20" outlineLevel="1" x14ac:dyDescent="0.25">
      <c r="J121" s="456"/>
    </row>
    <row r="122" spans="2:20" outlineLevel="1" x14ac:dyDescent="0.25">
      <c r="J122" s="455"/>
    </row>
    <row r="123" spans="2:20" outlineLevel="1" x14ac:dyDescent="0.25">
      <c r="J123" s="455"/>
    </row>
    <row r="124" spans="2:20" outlineLevel="1" x14ac:dyDescent="0.25">
      <c r="J124" s="455"/>
    </row>
    <row r="125" spans="2:20" outlineLevel="1" x14ac:dyDescent="0.25">
      <c r="J125" s="455"/>
    </row>
    <row r="126" spans="2:20" outlineLevel="1" x14ac:dyDescent="0.25">
      <c r="J126" s="455"/>
    </row>
    <row r="127" spans="2:20" outlineLevel="1" x14ac:dyDescent="0.25">
      <c r="J127" s="455"/>
    </row>
    <row r="128" spans="2:20" outlineLevel="1" x14ac:dyDescent="0.25">
      <c r="J128" s="455"/>
    </row>
    <row r="129" spans="7:12" outlineLevel="1" x14ac:dyDescent="0.25">
      <c r="J129" s="454"/>
    </row>
    <row r="130" spans="7:12" outlineLevel="1" x14ac:dyDescent="0.25">
      <c r="J130" s="376"/>
    </row>
    <row r="131" spans="7:12" outlineLevel="1" x14ac:dyDescent="0.25">
      <c r="J131" s="348"/>
    </row>
    <row r="132" spans="7:12" outlineLevel="1" x14ac:dyDescent="0.25"/>
    <row r="133" spans="7:12" outlineLevel="1" x14ac:dyDescent="0.25"/>
    <row r="134" spans="7:12" outlineLevel="1" x14ac:dyDescent="0.25">
      <c r="H134" s="348"/>
      <c r="I134" s="348"/>
    </row>
    <row r="135" spans="7:12" outlineLevel="1" x14ac:dyDescent="0.25">
      <c r="H135" s="348"/>
      <c r="I135" s="348"/>
      <c r="J135" s="125"/>
      <c r="K135" s="125"/>
      <c r="L135" s="125"/>
    </row>
    <row r="136" spans="7:12" outlineLevel="1" x14ac:dyDescent="0.25">
      <c r="G136" s="123"/>
      <c r="H136" s="110"/>
    </row>
    <row r="137" spans="7:12" outlineLevel="1" x14ac:dyDescent="0.25">
      <c r="G137" s="123"/>
      <c r="H137" s="110"/>
    </row>
    <row r="138" spans="7:12" outlineLevel="1" x14ac:dyDescent="0.25">
      <c r="G138" s="133"/>
      <c r="H138" s="110"/>
    </row>
    <row r="139" spans="7:12" outlineLevel="1" x14ac:dyDescent="0.25">
      <c r="G139" s="124"/>
      <c r="H139" s="110"/>
    </row>
    <row r="140" spans="7:12" outlineLevel="1" x14ac:dyDescent="0.25">
      <c r="G140" s="130"/>
      <c r="H140" s="110"/>
    </row>
    <row r="141" spans="7:12" outlineLevel="1" x14ac:dyDescent="0.25">
      <c r="H141" s="132"/>
      <c r="I141" s="132"/>
      <c r="K141" s="132"/>
      <c r="L141" s="132"/>
    </row>
  </sheetData>
  <dataConsolidate/>
  <conditionalFormatting sqref="E47:T66">
    <cfRule type="colorScale" priority="4">
      <colorScale>
        <cfvo type="min"/>
        <cfvo type="percentile" val="50"/>
        <cfvo type="max"/>
        <color rgb="FF63BE7B"/>
        <color rgb="FFFFEB84"/>
        <color rgb="FFF8696B"/>
      </colorScale>
    </cfRule>
  </conditionalFormatting>
  <conditionalFormatting sqref="E95:T114">
    <cfRule type="colorScale" priority="3">
      <colorScale>
        <cfvo type="min"/>
        <cfvo type="percentile" val="50"/>
        <cfvo type="max"/>
        <color rgb="FF63BE7B"/>
        <color rgb="FFFFEB84"/>
        <color rgb="FFF8696B"/>
      </colorScale>
    </cfRule>
  </conditionalFormatting>
  <conditionalFormatting sqref="E88:T90 J71:T87">
    <cfRule type="colorScale" priority="2">
      <colorScale>
        <cfvo type="min"/>
        <cfvo type="percentile" val="50"/>
        <cfvo type="max"/>
        <color rgb="FF63BE7B"/>
        <color rgb="FFFFEB84"/>
        <color rgb="FFF8696B"/>
      </colorScale>
    </cfRule>
  </conditionalFormatting>
  <conditionalFormatting sqref="E41:T41 J22:T40">
    <cfRule type="colorScale" priority="1">
      <colorScale>
        <cfvo type="min"/>
        <cfvo type="percentile" val="50"/>
        <cfvo type="max"/>
        <color rgb="FF63BE7B"/>
        <color rgb="FFFFEB84"/>
        <color rgb="FFF8696B"/>
      </colorScale>
    </cfRule>
  </conditionalFormatting>
  <pageMargins left="0.75" right="0.75" top="1" bottom="1" header="0.5" footer="0.5"/>
  <pageSetup scale="92" orientation="portrait" horizontalDpi="300" verticalDpi="300"/>
  <headerFooter alignWithMargins="0"/>
  <colBreaks count="2" manualBreakCount="2">
    <brk id="13" max="1048575" man="1"/>
    <brk id="21" max="1048575" man="1"/>
  </col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85" zoomScaleNormal="85" zoomScalePageLayoutView="125" workbookViewId="0">
      <pane xSplit="8" ySplit="4" topLeftCell="I38" activePane="bottomRight" state="frozen"/>
      <selection activeCell="A3" sqref="A3"/>
      <selection pane="topRight" activeCell="I3" sqref="I3"/>
      <selection pane="bottomLeft" activeCell="A5" sqref="A5"/>
      <selection pane="bottomRight" activeCell="N70" sqref="N70"/>
    </sheetView>
  </sheetViews>
  <sheetFormatPr defaultColWidth="8.88671875" defaultRowHeight="14.4" outlineLevelRow="2" x14ac:dyDescent="0.3"/>
  <cols>
    <col min="1" max="1" width="8.44140625" style="38" customWidth="1"/>
    <col min="2" max="2" width="3.88671875" style="70" customWidth="1"/>
    <col min="3" max="4" width="4.109375" style="70" customWidth="1"/>
    <col min="5" max="7" width="8.88671875" style="70"/>
    <col min="8" max="9" width="20.33203125" style="70" customWidth="1"/>
    <col min="10" max="10" width="19.44140625" style="70" bestFit="1" customWidth="1"/>
    <col min="11" max="11" width="10.109375" style="60" customWidth="1"/>
    <col min="12" max="12" width="20.44140625" style="70" bestFit="1" customWidth="1"/>
    <col min="13" max="13" width="10.109375" style="60" customWidth="1"/>
    <col min="14" max="14" width="22.6640625" style="70" bestFit="1" customWidth="1"/>
    <col min="15" max="15" width="11.44140625" style="60" customWidth="1"/>
    <col min="16" max="16" width="20.88671875" style="70" customWidth="1"/>
    <col min="17" max="17" width="11" style="70" customWidth="1"/>
    <col min="18" max="18" width="17.109375" style="70" bestFit="1" customWidth="1"/>
    <col min="19" max="19" width="16.88671875" style="70" bestFit="1" customWidth="1"/>
    <col min="20" max="22" width="13.33203125" style="70" bestFit="1" customWidth="1"/>
    <col min="23" max="16384" width="8.88671875" style="70"/>
  </cols>
  <sheetData>
    <row r="1" spans="1:19" ht="21.75" customHeight="1" x14ac:dyDescent="0.25">
      <c r="A1" s="38" t="s">
        <v>183</v>
      </c>
      <c r="J1" s="469">
        <f>J4*'Performance &amp; Economics'!$E$14</f>
        <v>373</v>
      </c>
      <c r="K1" s="469"/>
      <c r="L1" s="469">
        <f>L4*'Performance &amp; Economics'!$E$14</f>
        <v>3730</v>
      </c>
      <c r="M1" s="469"/>
      <c r="N1" s="469">
        <f>N4*'Performance &amp; Economics'!$E$14</f>
        <v>18650</v>
      </c>
      <c r="O1" s="469"/>
      <c r="P1" s="469">
        <f>P4*'Performance &amp; Economics'!$E$14</f>
        <v>37300</v>
      </c>
    </row>
    <row r="2" spans="1:19" ht="27" customHeight="1" x14ac:dyDescent="0.25">
      <c r="A2" s="38" t="s">
        <v>184</v>
      </c>
      <c r="J2" s="57">
        <f>'Performance &amp; Economics'!$E$16</f>
        <v>904.03200000000015</v>
      </c>
      <c r="K2" s="142"/>
      <c r="L2" s="57">
        <f>J2*L4</f>
        <v>9040.3200000000015</v>
      </c>
      <c r="M2" s="142"/>
      <c r="N2" s="57">
        <f>J2*N4</f>
        <v>45201.600000000006</v>
      </c>
      <c r="O2" s="142"/>
      <c r="P2" s="57">
        <f>J2*P4</f>
        <v>90403.200000000012</v>
      </c>
      <c r="R2" s="70">
        <f>1-(70100/P2)</f>
        <v>0.22458497044352421</v>
      </c>
    </row>
    <row r="3" spans="1:19" ht="22.5" customHeight="1" x14ac:dyDescent="0.25">
      <c r="A3" s="2" t="s">
        <v>804</v>
      </c>
      <c r="I3" s="59"/>
      <c r="J3" s="998" t="s">
        <v>66</v>
      </c>
      <c r="K3" s="998"/>
      <c r="L3" s="998"/>
      <c r="M3" s="998"/>
      <c r="N3" s="998"/>
      <c r="O3" s="998"/>
      <c r="P3" s="998"/>
      <c r="Q3" s="59"/>
    </row>
    <row r="4" spans="1:19" ht="24.75" customHeight="1" x14ac:dyDescent="0.25">
      <c r="I4" s="59" t="s">
        <v>111</v>
      </c>
      <c r="J4" s="59">
        <v>1</v>
      </c>
      <c r="K4" s="90" t="s">
        <v>146</v>
      </c>
      <c r="L4" s="59">
        <v>10</v>
      </c>
      <c r="M4" s="90" t="s">
        <v>146</v>
      </c>
      <c r="N4" s="59">
        <v>50</v>
      </c>
      <c r="O4" s="90" t="s">
        <v>147</v>
      </c>
      <c r="P4" s="59">
        <v>100</v>
      </c>
      <c r="Q4" s="90" t="s">
        <v>147</v>
      </c>
      <c r="R4" s="59"/>
      <c r="S4" s="71"/>
    </row>
    <row r="5" spans="1:19" s="60" customFormat="1" ht="15" outlineLevel="1" x14ac:dyDescent="0.25">
      <c r="A5" s="616">
        <v>1</v>
      </c>
      <c r="B5" s="611" t="str">
        <f>'CBS (Total)'!B3</f>
        <v>Capex</v>
      </c>
      <c r="C5" s="611"/>
      <c r="D5" s="611"/>
      <c r="E5" s="611"/>
      <c r="F5" s="611"/>
      <c r="G5" s="611"/>
      <c r="H5" s="611"/>
      <c r="I5" s="611"/>
      <c r="J5" s="628"/>
      <c r="K5" s="628"/>
      <c r="L5" s="628"/>
      <c r="M5" s="628"/>
      <c r="N5" s="628"/>
      <c r="O5" s="628"/>
      <c r="P5" s="628"/>
      <c r="Q5" s="611"/>
      <c r="R5" s="86"/>
      <c r="S5" s="86"/>
    </row>
    <row r="6" spans="1:19" s="439" customFormat="1" ht="15" outlineLevel="2" x14ac:dyDescent="0.25">
      <c r="A6" s="927">
        <v>1.1000000000000001</v>
      </c>
      <c r="B6" s="928"/>
      <c r="C6" s="928" t="str">
        <f>'CBS (Total)'!C4</f>
        <v>Development</v>
      </c>
      <c r="D6" s="928"/>
      <c r="E6" s="928"/>
      <c r="F6" s="928"/>
      <c r="G6" s="928"/>
      <c r="H6" s="928"/>
      <c r="I6" s="928"/>
      <c r="J6" s="929">
        <f>('CBS (Total)'!J4*'Performance &amp; Economics'!$G$35)/'CBS (CoE)'!J$2/10</f>
        <v>62.213463174339743</v>
      </c>
      <c r="K6" s="930">
        <f t="shared" ref="K6:K50" si="0">J6/$J$52</f>
        <v>0.20298413297680479</v>
      </c>
      <c r="L6" s="929">
        <f>('CBS (Total)'!L4*'Performance &amp; Economics'!$G$35)/'CBS (CoE)'!L$2/10</f>
        <v>27.479032228795905</v>
      </c>
      <c r="M6" s="930">
        <f t="shared" ref="M6:M50" si="1">L6/$L$52</f>
        <v>0.17786360219010547</v>
      </c>
      <c r="N6" s="929">
        <f>('CBS (Total)'!N4*'Performance &amp; Economics'!$G$35)/'CBS (CoE)'!N$2/10</f>
        <v>7.5031192204316524</v>
      </c>
      <c r="O6" s="930">
        <f t="shared" ref="O6:O50" si="2">N6/$N$52</f>
        <v>7.0269273303667348E-2</v>
      </c>
      <c r="P6" s="929">
        <f>('CBS (Total)'!P4*'Performance &amp; Economics'!$G$35)/'CBS (CoE)'!P$2/10</f>
        <v>3.6882547507350529</v>
      </c>
      <c r="Q6" s="931">
        <f t="shared" ref="Q6:Q50" si="3">P6/$P$52</f>
        <v>3.7369595526050577E-2</v>
      </c>
    </row>
    <row r="7" spans="1:19" s="60" customFormat="1" ht="15" outlineLevel="2" x14ac:dyDescent="0.25">
      <c r="A7" s="891" t="s">
        <v>2</v>
      </c>
      <c r="B7" s="492"/>
      <c r="C7" s="492"/>
      <c r="D7" s="492" t="str">
        <f>'CBS (Total)'!D5</f>
        <v>Permitting and Environmental Compliance</v>
      </c>
      <c r="E7" s="492"/>
      <c r="F7" s="492"/>
      <c r="G7" s="492"/>
      <c r="H7" s="492"/>
      <c r="I7" s="492"/>
      <c r="J7" s="892">
        <f>('CBS (Total)'!J5*'Performance &amp; Economics'!$G$35)/'CBS (CoE)'!J$2/10</f>
        <v>46.626959650418939</v>
      </c>
      <c r="K7" s="893">
        <f t="shared" si="0"/>
        <v>0.15212998111779194</v>
      </c>
      <c r="L7" s="892">
        <f>('CBS (Total)'!L5*'Performance &amp; Economics'!$G$35)/'CBS (CoE)'!L$2/10</f>
        <v>23.036777924182246</v>
      </c>
      <c r="M7" s="893">
        <f t="shared" si="1"/>
        <v>0.14911021139073416</v>
      </c>
      <c r="N7" s="892">
        <f>('CBS (Total)'!N5*'Performance &amp; Economics'!$G$35)/'CBS (CoE)'!N$2/10</f>
        <v>5.5294960454952093</v>
      </c>
      <c r="O7" s="893">
        <f t="shared" si="2"/>
        <v>5.1785618412457712E-2</v>
      </c>
      <c r="P7" s="892">
        <f>('CBS (Total)'!P5*'Performance &amp; Economics'!$G$35)/'CBS (CoE)'!P$2/10</f>
        <v>2.7647480227476047</v>
      </c>
      <c r="Q7" s="894">
        <f t="shared" si="3"/>
        <v>2.8012575682559708E-2</v>
      </c>
      <c r="R7" s="86"/>
    </row>
    <row r="8" spans="1:19" s="60" customFormat="1" ht="15" outlineLevel="2" x14ac:dyDescent="0.25">
      <c r="A8" s="891" t="s">
        <v>101</v>
      </c>
      <c r="B8" s="492"/>
      <c r="C8" s="492"/>
      <c r="D8" s="492"/>
      <c r="E8" s="492" t="str">
        <f>'CBS (Total)'!E6</f>
        <v>Siting &amp; Scoping</v>
      </c>
      <c r="F8" s="492"/>
      <c r="G8" s="492"/>
      <c r="H8" s="492"/>
      <c r="I8" s="492"/>
      <c r="J8" s="487">
        <f>('CBS (Total)'!J6*'Performance &amp; Economics'!$G$35)/'CBS (CoE)'!J$2/10</f>
        <v>3.7650582645172941</v>
      </c>
      <c r="K8" s="893">
        <f t="shared" si="0"/>
        <v>1.228427173855536E-2</v>
      </c>
      <c r="L8" s="487">
        <f>('CBS (Total)'!L6*'Performance &amp; Economics'!$G$35)/'CBS (CoE)'!L$2/10</f>
        <v>0.51396033452140844</v>
      </c>
      <c r="M8" s="893">
        <f t="shared" si="1"/>
        <v>3.3267123718066613E-3</v>
      </c>
      <c r="N8" s="487">
        <f>('CBS (Total)'!N6*'Performance &amp; Economics'!$G$35)/'CBS (CoE)'!N$2/10</f>
        <v>0.10279206690428169</v>
      </c>
      <c r="O8" s="893">
        <f t="shared" si="2"/>
        <v>9.6268280305031404E-4</v>
      </c>
      <c r="P8" s="487">
        <f>('CBS (Total)'!P6*'Performance &amp; Economics'!$G$35)/'CBS (CoE)'!P$2/10</f>
        <v>5.1396033452140846E-2</v>
      </c>
      <c r="Q8" s="895">
        <f t="shared" si="3"/>
        <v>5.2074737553502539E-4</v>
      </c>
    </row>
    <row r="9" spans="1:19" s="60" customFormat="1" ht="15" outlineLevel="2" x14ac:dyDescent="0.25">
      <c r="A9" s="891" t="s">
        <v>102</v>
      </c>
      <c r="B9" s="492"/>
      <c r="C9" s="492"/>
      <c r="D9" s="492"/>
      <c r="E9" s="492" t="str">
        <f>'CBS (Total)'!E7</f>
        <v>Pre-Installation Studies</v>
      </c>
      <c r="F9" s="492"/>
      <c r="G9" s="492"/>
      <c r="H9" s="492"/>
      <c r="I9" s="492"/>
      <c r="J9" s="487">
        <f>('CBS (Total)'!J7*'Performance &amp; Economics'!$G$35)/'CBS (CoE)'!J$2/10</f>
        <v>19.494635014056215</v>
      </c>
      <c r="K9" s="893">
        <f t="shared" si="0"/>
        <v>6.3605229224075535E-2</v>
      </c>
      <c r="L9" s="487">
        <f>('CBS (Total)'!L7*'Performance &amp; Economics'!$G$35)/'CBS (CoE)'!L$2/10</f>
        <v>3.0670284148417069</v>
      </c>
      <c r="M9" s="893">
        <f t="shared" si="1"/>
        <v>1.9851962665246262E-2</v>
      </c>
      <c r="N9" s="487">
        <f>('CBS (Total)'!N7*'Performance &amp; Economics'!$G$35)/'CBS (CoE)'!N$2/10</f>
        <v>0.80046333960229588</v>
      </c>
      <c r="O9" s="893">
        <f t="shared" si="2"/>
        <v>7.4966124791022706E-3</v>
      </c>
      <c r="P9" s="487">
        <f>('CBS (Total)'!P7*'Performance &amp; Economics'!$G$35)/'CBS (CoE)'!P$2/10</f>
        <v>0.40023166980114794</v>
      </c>
      <c r="Q9" s="895">
        <f t="shared" si="3"/>
        <v>4.0551688069279824E-3</v>
      </c>
    </row>
    <row r="10" spans="1:19" s="60" customFormat="1" ht="15" outlineLevel="1" x14ac:dyDescent="0.25">
      <c r="A10" s="891" t="s">
        <v>103</v>
      </c>
      <c r="B10" s="492"/>
      <c r="C10" s="492"/>
      <c r="D10" s="492"/>
      <c r="E10" s="492" t="str">
        <f>'CBS (Total)'!E8</f>
        <v>Post-Installation Studies</v>
      </c>
      <c r="F10" s="492"/>
      <c r="G10" s="492"/>
      <c r="H10" s="492"/>
      <c r="I10" s="492"/>
      <c r="J10" s="487">
        <f>('CBS (Total)'!J8*'Performance &amp; Economics'!$G$35)/'CBS (CoE)'!J$2/10</f>
        <v>10.219443860832657</v>
      </c>
      <c r="K10" s="893">
        <f t="shared" si="0"/>
        <v>3.3343023290364551E-2</v>
      </c>
      <c r="L10" s="487">
        <f>('CBS (Total)'!L8*'Performance &amp; Economics'!$G$35)/'CBS (CoE)'!L$2/10</f>
        <v>17.423852968571701</v>
      </c>
      <c r="M10" s="893">
        <f t="shared" si="1"/>
        <v>0.1127794176744456</v>
      </c>
      <c r="N10" s="487">
        <f>('CBS (Total)'!N8*'Performance &amp; Economics'!$G$35)/'CBS (CoE)'!N$2/10</f>
        <v>4.1660668511031842</v>
      </c>
      <c r="O10" s="893">
        <f t="shared" si="2"/>
        <v>3.9016638488742671E-2</v>
      </c>
      <c r="P10" s="487">
        <f>('CBS (Total)'!P8*'Performance &amp; Economics'!$G$35)/'CBS (CoE)'!P$2/10</f>
        <v>2.0830334255515921</v>
      </c>
      <c r="Q10" s="895">
        <f t="shared" si="3"/>
        <v>2.1105406714271292E-2</v>
      </c>
    </row>
    <row r="11" spans="1:19" s="60" customFormat="1" ht="15" outlineLevel="1" x14ac:dyDescent="0.25">
      <c r="A11" s="891" t="s">
        <v>104</v>
      </c>
      <c r="B11" s="492"/>
      <c r="C11" s="492"/>
      <c r="D11" s="492"/>
      <c r="E11" s="492" t="str">
        <f>'CBS (Total)'!E9</f>
        <v>NEPA &amp; Process</v>
      </c>
      <c r="F11" s="492"/>
      <c r="G11" s="492"/>
      <c r="H11" s="492"/>
      <c r="I11" s="492"/>
      <c r="J11" s="487">
        <f>('CBS (Total)'!J9*'Performance &amp; Economics'!$G$35)/'CBS (CoE)'!J$2/10</f>
        <v>13.147822511012773</v>
      </c>
      <c r="K11" s="893">
        <f t="shared" si="0"/>
        <v>4.2897456864796492E-2</v>
      </c>
      <c r="L11" s="487">
        <f>('CBS (Total)'!L9*'Performance &amp; Economics'!$G$35)/'CBS (CoE)'!L$2/10</f>
        <v>2.0319362062474289</v>
      </c>
      <c r="M11" s="893">
        <f t="shared" si="1"/>
        <v>1.3152118679235639E-2</v>
      </c>
      <c r="N11" s="487">
        <f>('CBS (Total)'!N9*'Performance &amp; Economics'!$G$35)/'CBS (CoE)'!N$2/10</f>
        <v>0.46017378788544711</v>
      </c>
      <c r="O11" s="893">
        <f t="shared" si="2"/>
        <v>4.3096846415624519E-3</v>
      </c>
      <c r="P11" s="487">
        <f>('CBS (Total)'!P9*'Performance &amp; Economics'!$G$35)/'CBS (CoE)'!P$2/10</f>
        <v>0.23008689394272355</v>
      </c>
      <c r="Q11" s="895">
        <f t="shared" si="3"/>
        <v>2.3312527858254046E-3</v>
      </c>
    </row>
    <row r="12" spans="1:19" s="59" customFormat="1" ht="15" x14ac:dyDescent="0.25">
      <c r="A12" s="891" t="s">
        <v>4</v>
      </c>
      <c r="B12" s="492"/>
      <c r="C12" s="492"/>
      <c r="D12" s="492" t="str">
        <f>'CBS (Total)'!D10</f>
        <v>Site Assessment</v>
      </c>
      <c r="E12" s="492"/>
      <c r="F12" s="492"/>
      <c r="G12" s="492"/>
      <c r="H12" s="492"/>
      <c r="I12" s="492"/>
      <c r="J12" s="487">
        <f>('CBS (Total)'!J10*'Performance &amp; Economics'!$G$35)/'CBS (CoE)'!J$2/10</f>
        <v>2.3183555433668825</v>
      </c>
      <c r="K12" s="893">
        <f t="shared" si="0"/>
        <v>7.5641085689695667E-3</v>
      </c>
      <c r="L12" s="487">
        <f>('CBS (Total)'!L10*'Performance &amp; Economics'!$G$35)/'CBS (CoE)'!L$2/10</f>
        <v>0.35147834867372063</v>
      </c>
      <c r="M12" s="893">
        <f t="shared" si="1"/>
        <v>2.2750148064321829E-3</v>
      </c>
      <c r="N12" s="487">
        <f>('CBS (Total)'!N10*'Performance &amp; Economics'!$G$35)/'CBS (CoE)'!N$2/10</f>
        <v>7.0295669734744132E-2</v>
      </c>
      <c r="O12" s="893">
        <f t="shared" si="2"/>
        <v>6.583429482506474E-4</v>
      </c>
      <c r="P12" s="487">
        <f>('CBS (Total)'!P10*'Performance &amp; Economics'!$G$35)/'CBS (CoE)'!P$2/10</f>
        <v>3.5147834867372066E-2</v>
      </c>
      <c r="Q12" s="895">
        <f t="shared" si="3"/>
        <v>3.5611975348187234E-4</v>
      </c>
    </row>
    <row r="13" spans="1:19" s="60" customFormat="1" ht="15" outlineLevel="1" x14ac:dyDescent="0.25">
      <c r="A13" s="900" t="s">
        <v>6</v>
      </c>
      <c r="B13" s="78"/>
      <c r="C13" s="78"/>
      <c r="D13" s="78" t="str">
        <f>'CBS (Total)'!D11</f>
        <v>Project Design, Engineering, and Management</v>
      </c>
      <c r="E13" s="78"/>
      <c r="F13" s="78"/>
      <c r="G13" s="78"/>
      <c r="H13" s="78"/>
      <c r="I13" s="78"/>
      <c r="J13" s="523">
        <f>('CBS (Total)'!J11*'Performance &amp; Economics'!$G$35)/'CBS (CoE)'!J$2/10</f>
        <v>13.268147980553925</v>
      </c>
      <c r="K13" s="901">
        <f t="shared" si="0"/>
        <v>4.3290043290043295E-2</v>
      </c>
      <c r="L13" s="523">
        <f>('CBS (Total)'!L11*'Performance &amp; Economics'!$G$35)/'CBS (CoE)'!L$2/10</f>
        <v>4.0907759559399359</v>
      </c>
      <c r="M13" s="901">
        <f t="shared" si="1"/>
        <v>2.6478375992939094E-2</v>
      </c>
      <c r="N13" s="523">
        <f>('CBS (Total)'!N11*'Performance &amp; Economics'!$G$35)/'CBS (CoE)'!N$2/10</f>
        <v>1.9033275052016996</v>
      </c>
      <c r="O13" s="901">
        <f t="shared" si="2"/>
        <v>1.7825311942959002E-2</v>
      </c>
      <c r="P13" s="523">
        <f>('CBS (Total)'!P11*'Performance &amp; Economics'!$G$35)/'CBS (CoE)'!P$2/10</f>
        <v>0.88835889312007699</v>
      </c>
      <c r="Q13" s="902">
        <f t="shared" si="3"/>
        <v>9.0009000900090029E-3</v>
      </c>
    </row>
    <row r="14" spans="1:19" s="439" customFormat="1" ht="15" outlineLevel="1" x14ac:dyDescent="0.25">
      <c r="A14" s="927">
        <v>1.2</v>
      </c>
      <c r="B14" s="928"/>
      <c r="C14" s="928" t="str">
        <f>'CBS (Total)'!C12</f>
        <v>Infrastructure</v>
      </c>
      <c r="D14" s="928"/>
      <c r="E14" s="928"/>
      <c r="F14" s="928"/>
      <c r="G14" s="928"/>
      <c r="H14" s="928"/>
      <c r="I14" s="928"/>
      <c r="J14" s="929">
        <f>('CBS (Total)'!J12*'Performance &amp; Economics'!$G$35)/'CBS (CoE)'!J$2/10</f>
        <v>13.279300736122902</v>
      </c>
      <c r="K14" s="930">
        <f t="shared" si="0"/>
        <v>4.3326431433444466E-2</v>
      </c>
      <c r="L14" s="929">
        <f>('CBS (Total)'!L12*'Performance &amp; Economics'!$G$35)/'CBS (CoE)'!L$2/10</f>
        <v>9.3827642464954799</v>
      </c>
      <c r="M14" s="930">
        <f t="shared" si="1"/>
        <v>6.0731842136470447E-2</v>
      </c>
      <c r="N14" s="929">
        <f>('CBS (Total)'!N12*'Performance &amp; Economics'!$G$35)/'CBS (CoE)'!N$2/10</f>
        <v>3.8697627419686329</v>
      </c>
      <c r="O14" s="930">
        <f t="shared" si="2"/>
        <v>3.624164933901973E-2</v>
      </c>
      <c r="P14" s="929">
        <f>('CBS (Total)'!P12*'Performance &amp; Economics'!$G$35)/'CBS (CoE)'!P$2/10</f>
        <v>4.2563087237924089</v>
      </c>
      <c r="Q14" s="931">
        <f t="shared" si="3"/>
        <v>4.3125148936749437E-2</v>
      </c>
    </row>
    <row r="15" spans="1:19" s="60" customFormat="1" ht="15" outlineLevel="1" x14ac:dyDescent="0.25">
      <c r="A15" s="903" t="s">
        <v>9</v>
      </c>
      <c r="B15" s="904"/>
      <c r="C15" s="904"/>
      <c r="D15" s="904" t="str">
        <f>'CBS (Total)'!D13</f>
        <v>Subsea Cables</v>
      </c>
      <c r="E15" s="904"/>
      <c r="F15" s="904"/>
      <c r="G15" s="904"/>
      <c r="H15" s="904"/>
      <c r="I15" s="904"/>
      <c r="J15" s="905">
        <f>('CBS (Total)'!J13*'Performance &amp; Economics'!$G$35)/'CBS (CoE)'!J$2/10</f>
        <v>12.072091578293547</v>
      </c>
      <c r="K15" s="906">
        <f t="shared" si="0"/>
        <v>3.9387664939494964E-2</v>
      </c>
      <c r="L15" s="905">
        <f>('CBS (Total)'!L13*'Performance &amp; Economics'!$G$35)/'CBS (CoE)'!L$2/10</f>
        <v>2.3905131838205045</v>
      </c>
      <c r="M15" s="906">
        <f t="shared" si="1"/>
        <v>1.5473080799100751E-2</v>
      </c>
      <c r="N15" s="905">
        <f>('CBS (Total)'!N13*'Performance &amp; Economics'!$G$35)/'CBS (CoE)'!N$2/10</f>
        <v>2.2901116301000437</v>
      </c>
      <c r="O15" s="906">
        <f t="shared" si="2"/>
        <v>2.1447677333074441E-2</v>
      </c>
      <c r="P15" s="905">
        <f>('CBS (Total)'!P13*'Performance &amp; Economics'!$G$35)/'CBS (CoE)'!P$2/10</f>
        <v>2.6415170681216571</v>
      </c>
      <c r="Q15" s="907">
        <f t="shared" si="3"/>
        <v>2.6763993021683863E-2</v>
      </c>
    </row>
    <row r="16" spans="1:19" s="60" customFormat="1" ht="15" outlineLevel="1" x14ac:dyDescent="0.25">
      <c r="A16" s="891" t="s">
        <v>11</v>
      </c>
      <c r="B16" s="492"/>
      <c r="C16" s="492"/>
      <c r="D16" s="492" t="str">
        <f>'CBS (Total)'!D14</f>
        <v>Terminations and Connectors</v>
      </c>
      <c r="E16" s="492"/>
      <c r="F16" s="492"/>
      <c r="G16" s="492"/>
      <c r="H16" s="492"/>
      <c r="I16" s="492"/>
      <c r="J16" s="487">
        <f>('CBS (Total)'!J14*'Performance &amp; Economics'!$G$35)/'CBS (CoE)'!J$2/10</f>
        <v>1.2072091578293547</v>
      </c>
      <c r="K16" s="893">
        <f t="shared" si="0"/>
        <v>3.9387664939494966E-3</v>
      </c>
      <c r="L16" s="487">
        <f>('CBS (Total)'!L14*'Performance &amp; Economics'!$G$35)/'CBS (CoE)'!L$2/10</f>
        <v>0.23905131838205046</v>
      </c>
      <c r="M16" s="893">
        <f t="shared" si="1"/>
        <v>1.5473080799100754E-3</v>
      </c>
      <c r="N16" s="487">
        <f>('CBS (Total)'!N14*'Performance &amp; Economics'!$G$35)/'CBS (CoE)'!N$2/10</f>
        <v>0.22901116301000432</v>
      </c>
      <c r="O16" s="893">
        <f t="shared" si="2"/>
        <v>2.1447677333074435E-3</v>
      </c>
      <c r="P16" s="487">
        <f>('CBS (Total)'!P14*'Performance &amp; Economics'!$G$35)/'CBS (CoE)'!P$2/10</f>
        <v>0.26415170681216577</v>
      </c>
      <c r="Q16" s="896">
        <f t="shared" si="3"/>
        <v>2.6763993021683865E-3</v>
      </c>
    </row>
    <row r="17" spans="1:27" s="60" customFormat="1" ht="15" outlineLevel="1" x14ac:dyDescent="0.25">
      <c r="A17" s="891" t="s">
        <v>13</v>
      </c>
      <c r="B17" s="492"/>
      <c r="C17" s="492"/>
      <c r="D17" s="492" t="str">
        <f>'CBS (Total)'!D15</f>
        <v>Dockside Improvements</v>
      </c>
      <c r="E17" s="492"/>
      <c r="F17" s="492"/>
      <c r="G17" s="492"/>
      <c r="H17" s="492"/>
      <c r="I17" s="492"/>
      <c r="J17" s="487">
        <f>('CBS (Total)'!J15*'Performance &amp; Economics'!$G$35)/'CBS (CoE)'!J$2/10</f>
        <v>0</v>
      </c>
      <c r="K17" s="893">
        <f t="shared" si="0"/>
        <v>0</v>
      </c>
      <c r="L17" s="487">
        <f>('CBS (Total)'!L15*'Performance &amp; Economics'!$G$35)/'CBS (CoE)'!L$2/10</f>
        <v>0</v>
      </c>
      <c r="M17" s="893">
        <f t="shared" si="1"/>
        <v>0</v>
      </c>
      <c r="N17" s="487">
        <f>('CBS (Total)'!N15*'Performance &amp; Economics'!$G$35)/'CBS (CoE)'!N$2/10</f>
        <v>0</v>
      </c>
      <c r="O17" s="893">
        <f t="shared" si="2"/>
        <v>0</v>
      </c>
      <c r="P17" s="487">
        <f>('CBS (Total)'!P15*'Performance &amp; Economics'!$G$35)/'CBS (CoE)'!P$2/10</f>
        <v>0</v>
      </c>
      <c r="Q17" s="895">
        <f t="shared" si="3"/>
        <v>0</v>
      </c>
    </row>
    <row r="18" spans="1:27" s="59" customFormat="1" ht="15" x14ac:dyDescent="0.25">
      <c r="A18" s="891" t="s">
        <v>15</v>
      </c>
      <c r="B18" s="492"/>
      <c r="C18" s="492"/>
      <c r="D18" s="492" t="str">
        <f>'CBS (Total)'!D16</f>
        <v>Dedicated O&amp;M Vessel</v>
      </c>
      <c r="E18" s="492"/>
      <c r="F18" s="492"/>
      <c r="G18" s="492"/>
      <c r="H18" s="492"/>
      <c r="I18" s="492"/>
      <c r="J18" s="487">
        <f>('CBS (Total)'!J16*'Performance &amp; Economics'!$G$35)/'CBS (CoE)'!J$2/10</f>
        <v>0</v>
      </c>
      <c r="K18" s="893">
        <f t="shared" si="0"/>
        <v>0</v>
      </c>
      <c r="L18" s="487">
        <f>('CBS (Total)'!L16*'Performance &amp; Economics'!$G$35)/'CBS (CoE)'!L$2/10</f>
        <v>6.7531997442929255</v>
      </c>
      <c r="M18" s="893">
        <f t="shared" si="1"/>
        <v>4.3711453257459627E-2</v>
      </c>
      <c r="N18" s="487">
        <f>('CBS (Total)'!N16*'Performance &amp; Economics'!$G$35)/'CBS (CoE)'!N$2/10</f>
        <v>1.3506399488585852</v>
      </c>
      <c r="O18" s="893">
        <f t="shared" si="2"/>
        <v>1.2649204272637849E-2</v>
      </c>
      <c r="P18" s="487">
        <f>('CBS (Total)'!P16*'Performance &amp; Economics'!$G$35)/'CBS (CoE)'!P$2/10</f>
        <v>1.3506399488585852</v>
      </c>
      <c r="Q18" s="895">
        <f t="shared" si="3"/>
        <v>1.3684756612897182E-2</v>
      </c>
    </row>
    <row r="19" spans="1:27" s="60" customFormat="1" ht="15" outlineLevel="1" x14ac:dyDescent="0.25">
      <c r="A19" s="900" t="s">
        <v>16</v>
      </c>
      <c r="B19" s="78"/>
      <c r="C19" s="78"/>
      <c r="D19" s="78" t="str">
        <f>'CBS (Total)'!D17</f>
        <v>Other</v>
      </c>
      <c r="E19" s="78"/>
      <c r="F19" s="78"/>
      <c r="G19" s="78"/>
      <c r="H19" s="78"/>
      <c r="I19" s="78"/>
      <c r="J19" s="523">
        <f>('CBS (Total)'!J17*'Performance &amp; Economics'!$G$35)/'CBS (CoE)'!J$2/10</f>
        <v>0</v>
      </c>
      <c r="K19" s="901">
        <f t="shared" si="0"/>
        <v>0</v>
      </c>
      <c r="L19" s="523">
        <f>('CBS (Total)'!L17*'Performance &amp; Economics'!$G$35)/'CBS (CoE)'!L$2/10</f>
        <v>0</v>
      </c>
      <c r="M19" s="901">
        <f t="shared" si="1"/>
        <v>0</v>
      </c>
      <c r="N19" s="523">
        <f>('CBS (Total)'!N17*'Performance &amp; Economics'!$G$35)/'CBS (CoE)'!N$2/10</f>
        <v>0</v>
      </c>
      <c r="O19" s="901">
        <f t="shared" si="2"/>
        <v>0</v>
      </c>
      <c r="P19" s="523">
        <f>('CBS (Total)'!P17*'Performance &amp; Economics'!$G$35)/'CBS (CoE)'!P$2/10</f>
        <v>0</v>
      </c>
      <c r="Q19" s="902">
        <f t="shared" si="3"/>
        <v>0</v>
      </c>
    </row>
    <row r="20" spans="1:27" s="439" customFormat="1" ht="15" outlineLevel="1" x14ac:dyDescent="0.25">
      <c r="A20" s="927">
        <v>1.3</v>
      </c>
      <c r="B20" s="928"/>
      <c r="C20" s="928" t="str">
        <f>'CBS (Total)'!C18</f>
        <v>Mooring/Foundation</v>
      </c>
      <c r="D20" s="928"/>
      <c r="E20" s="928"/>
      <c r="F20" s="928"/>
      <c r="G20" s="928"/>
      <c r="H20" s="928"/>
      <c r="I20" s="928"/>
      <c r="J20" s="929">
        <f>('CBS (Total)'!J18*'Performance &amp; Economics'!$G$35)/'CBS (CoE)'!J$2/10</f>
        <v>9.9822126093535495</v>
      </c>
      <c r="K20" s="930">
        <f t="shared" si="0"/>
        <v>3.256900786927238E-2</v>
      </c>
      <c r="L20" s="929">
        <f>('CBS (Total)'!L18*'Performance &amp; Economics'!$G$35)/'CBS (CoE)'!L$2/10</f>
        <v>8.8946172320146974</v>
      </c>
      <c r="M20" s="930">
        <f t="shared" si="1"/>
        <v>5.7572211707313158E-2</v>
      </c>
      <c r="N20" s="929">
        <f>('CBS (Total)'!N18*'Performance &amp; Economics'!$G$35)/'CBS (CoE)'!N$2/10</f>
        <v>8.64863342539957</v>
      </c>
      <c r="O20" s="930">
        <f t="shared" si="2"/>
        <v>8.0997404948294618E-2</v>
      </c>
      <c r="P20" s="929">
        <f>('CBS (Total)'!P18*'Performance &amp; Economics'!$G$35)/'CBS (CoE)'!P$2/10</f>
        <v>8.4026496187844391</v>
      </c>
      <c r="Q20" s="931">
        <f t="shared" si="3"/>
        <v>8.5136097916912595E-2</v>
      </c>
    </row>
    <row r="21" spans="1:27" s="60" customFormat="1" ht="15" outlineLevel="1" x14ac:dyDescent="0.25">
      <c r="A21" s="903" t="s">
        <v>19</v>
      </c>
      <c r="B21" s="904"/>
      <c r="C21" s="904"/>
      <c r="D21" s="904" t="str">
        <f>'CBS (Total)'!D19</f>
        <v>Mooring lines/chain</v>
      </c>
      <c r="E21" s="904"/>
      <c r="F21" s="904"/>
      <c r="G21" s="904"/>
      <c r="H21" s="904"/>
      <c r="I21" s="904"/>
      <c r="J21" s="905">
        <f>('CBS (Total)'!J19*'Performance &amp; Economics'!$G$35)/'CBS (CoE)'!J$2/10</f>
        <v>6.5582088607719271</v>
      </c>
      <c r="K21" s="906">
        <f t="shared" si="0"/>
        <v>2.1397496161789844E-2</v>
      </c>
      <c r="L21" s="905">
        <f>('CBS (Total)'!L19*'Performance &amp; Economics'!$G$35)/'CBS (CoE)'!L$2/10</f>
        <v>5.902387974694733</v>
      </c>
      <c r="M21" s="906">
        <f t="shared" si="1"/>
        <v>3.8204401740270746E-2</v>
      </c>
      <c r="N21" s="905">
        <f>('CBS (Total)'!N19*'Performance &amp; Economics'!$G$35)/'CBS (CoE)'!N$2/10</f>
        <v>5.9023879746947348</v>
      </c>
      <c r="O21" s="906">
        <f t="shared" si="2"/>
        <v>5.5277878646614799E-2</v>
      </c>
      <c r="P21" s="905">
        <f>('CBS (Total)'!P19*'Performance &amp; Economics'!$G$35)/'CBS (CoE)'!P$2/10</f>
        <v>5.9023879746947348</v>
      </c>
      <c r="Q21" s="908">
        <f t="shared" si="3"/>
        <v>5.9803312449664296E-2</v>
      </c>
    </row>
    <row r="22" spans="1:27" s="60" customFormat="1" ht="15" outlineLevel="1" x14ac:dyDescent="0.25">
      <c r="A22" s="891" t="s">
        <v>21</v>
      </c>
      <c r="B22" s="492"/>
      <c r="C22" s="492"/>
      <c r="D22" s="492" t="str">
        <f>'CBS (Total)'!D20</f>
        <v>Anchors</v>
      </c>
      <c r="E22" s="492"/>
      <c r="F22" s="492"/>
      <c r="G22" s="492"/>
      <c r="H22" s="492"/>
      <c r="I22" s="492"/>
      <c r="J22" s="487">
        <f>('CBS (Total)'!J20*'Performance &amp; Economics'!$G$35)/'CBS (CoE)'!J$2/10</f>
        <v>1.4841022999112838</v>
      </c>
      <c r="K22" s="893">
        <f t="shared" si="0"/>
        <v>4.8421869355221112E-3</v>
      </c>
      <c r="L22" s="487">
        <f>('CBS (Total)'!L20*'Performance &amp; Economics'!$G$35)/'CBS (CoE)'!L$2/10</f>
        <v>1.2463179535166584</v>
      </c>
      <c r="M22" s="893">
        <f t="shared" si="1"/>
        <v>8.0670454054191688E-3</v>
      </c>
      <c r="N22" s="487">
        <f>('CBS (Total)'!N20*'Performance &amp; Economics'!$G$35)/'CBS (CoE)'!N$2/10</f>
        <v>1.0003341469015283</v>
      </c>
      <c r="O22" s="893">
        <f t="shared" si="2"/>
        <v>9.3684708317310333E-3</v>
      </c>
      <c r="P22" s="487">
        <f>('CBS (Total)'!P20*'Performance &amp; Economics'!$G$35)/'CBS (CoE)'!P$2/10</f>
        <v>0.75435034028639847</v>
      </c>
      <c r="Q22" s="895">
        <f t="shared" si="3"/>
        <v>7.6431182243643092E-3</v>
      </c>
      <c r="R22" s="96"/>
    </row>
    <row r="23" spans="1:27" s="60" customFormat="1" ht="15" outlineLevel="1" x14ac:dyDescent="0.25">
      <c r="A23" s="891" t="s">
        <v>23</v>
      </c>
      <c r="B23" s="492"/>
      <c r="C23" s="492"/>
      <c r="D23" s="492" t="str">
        <f>'CBS (Total)'!D21</f>
        <v>Buoyancy</v>
      </c>
      <c r="E23" s="492"/>
      <c r="F23" s="492"/>
      <c r="G23" s="492"/>
      <c r="H23" s="492"/>
      <c r="I23" s="492"/>
      <c r="J23" s="487">
        <f>('CBS (Total)'!J21*'Performance &amp; Economics'!$G$35)/'CBS (CoE)'!J$2/10</f>
        <v>0.71715395514615132</v>
      </c>
      <c r="K23" s="893">
        <f t="shared" si="0"/>
        <v>2.3398612835343544E-3</v>
      </c>
      <c r="L23" s="487">
        <f>('CBS (Total)'!L21*'Performance &amp; Economics'!$G$35)/'CBS (CoE)'!L$2/10</f>
        <v>0.64543855963153618</v>
      </c>
      <c r="M23" s="893">
        <f t="shared" si="1"/>
        <v>4.1777318157572027E-3</v>
      </c>
      <c r="N23" s="487">
        <f>('CBS (Total)'!N21*'Performance &amp; Economics'!$G$35)/'CBS (CoE)'!N$2/10</f>
        <v>0.64543855963153618</v>
      </c>
      <c r="O23" s="893">
        <f t="shared" si="2"/>
        <v>6.0447524842694132E-3</v>
      </c>
      <c r="P23" s="487">
        <f>('CBS (Total)'!P21*'Performance &amp; Economics'!$G$35)/'CBS (CoE)'!P$2/10</f>
        <v>0.64543855963153618</v>
      </c>
      <c r="Q23" s="895">
        <f t="shared" si="3"/>
        <v>6.5396182043933422E-3</v>
      </c>
      <c r="R23" s="86"/>
      <c r="S23" s="86"/>
      <c r="T23" s="86"/>
      <c r="U23" s="86"/>
    </row>
    <row r="24" spans="1:27" s="59" customFormat="1" ht="15" x14ac:dyDescent="0.25">
      <c r="A24" s="891" t="s">
        <v>24</v>
      </c>
      <c r="B24" s="492"/>
      <c r="C24" s="492"/>
      <c r="D24" s="492" t="str">
        <f>'CBS (Total)'!D22</f>
        <v>Connecting Hardware (shackles etc.)</v>
      </c>
      <c r="E24" s="492"/>
      <c r="F24" s="492"/>
      <c r="G24" s="492"/>
      <c r="H24" s="492"/>
      <c r="I24" s="492"/>
      <c r="J24" s="487">
        <f>('CBS (Total)'!J22*'Performance &amp; Economics'!$G$35)/'CBS (CoE)'!J$2/10</f>
        <v>1.222747493524188</v>
      </c>
      <c r="K24" s="893">
        <f t="shared" si="0"/>
        <v>3.9894634884260743E-3</v>
      </c>
      <c r="L24" s="487">
        <f>('CBS (Total)'!L22*'Performance &amp; Economics'!$G$35)/'CBS (CoE)'!L$2/10</f>
        <v>1.1004727441717692</v>
      </c>
      <c r="M24" s="893">
        <f t="shared" si="1"/>
        <v>7.1230327458660309E-3</v>
      </c>
      <c r="N24" s="487">
        <f>('CBS (Total)'!N22*'Performance &amp; Economics'!$G$35)/'CBS (CoE)'!N$2/10</f>
        <v>1.1004727441717692</v>
      </c>
      <c r="O24" s="893">
        <f t="shared" si="2"/>
        <v>1.030630298567935E-2</v>
      </c>
      <c r="P24" s="487">
        <f>('CBS (Total)'!P22*'Performance &amp; Economics'!$G$35)/'CBS (CoE)'!P$2/10</f>
        <v>1.1004727441717692</v>
      </c>
      <c r="Q24" s="895">
        <f t="shared" si="3"/>
        <v>1.1150049038490649E-2</v>
      </c>
      <c r="R24" s="88"/>
      <c r="S24" s="88"/>
      <c r="T24" s="88"/>
      <c r="U24" s="88"/>
      <c r="V24" s="89"/>
      <c r="W24" s="88"/>
      <c r="X24" s="88"/>
      <c r="Y24" s="88"/>
    </row>
    <row r="25" spans="1:27" s="60" customFormat="1" ht="15" outlineLevel="1" x14ac:dyDescent="0.25">
      <c r="A25" s="909" t="s">
        <v>26</v>
      </c>
      <c r="B25" s="910"/>
      <c r="C25" s="910"/>
      <c r="D25" s="910" t="str">
        <f>'CBS (Total)'!D23</f>
        <v>Other</v>
      </c>
      <c r="E25" s="910"/>
      <c r="F25" s="910"/>
      <c r="G25" s="910"/>
      <c r="H25" s="910"/>
      <c r="I25" s="910"/>
      <c r="J25" s="911">
        <f>('CBS (Total)'!J23*'Performance &amp; Economics'!$G$35)/'CBS (CoE)'!J$2/10</f>
        <v>0</v>
      </c>
      <c r="K25" s="912">
        <f t="shared" si="0"/>
        <v>0</v>
      </c>
      <c r="L25" s="911">
        <f>('CBS (Total)'!L23*'Performance &amp; Economics'!$G$35)/'CBS (CoE)'!L$2/10</f>
        <v>0</v>
      </c>
      <c r="M25" s="912">
        <f t="shared" si="1"/>
        <v>0</v>
      </c>
      <c r="N25" s="911">
        <f>('CBS (Total)'!N23*'Performance &amp; Economics'!$G$35)/'CBS (CoE)'!N$2/10</f>
        <v>0</v>
      </c>
      <c r="O25" s="912">
        <f t="shared" si="2"/>
        <v>0</v>
      </c>
      <c r="P25" s="911">
        <f>('CBS (Total)'!P23*'Performance &amp; Economics'!$G$35)/'CBS (CoE)'!P$2/10</f>
        <v>0</v>
      </c>
      <c r="Q25" s="913">
        <f t="shared" si="3"/>
        <v>0</v>
      </c>
      <c r="R25" s="136"/>
      <c r="S25" s="136"/>
      <c r="T25" s="136"/>
      <c r="U25" s="136"/>
      <c r="V25" s="86"/>
      <c r="W25" s="86"/>
      <c r="X25" s="86"/>
      <c r="Y25" s="86"/>
      <c r="AA25" s="96"/>
    </row>
    <row r="26" spans="1:27" s="439" customFormat="1" ht="15" outlineLevel="1" x14ac:dyDescent="0.25">
      <c r="A26" s="927">
        <v>1.4</v>
      </c>
      <c r="B26" s="928"/>
      <c r="C26" s="928" t="str">
        <f>'CBS (Total)'!C24</f>
        <v>Device Structural Components</v>
      </c>
      <c r="D26" s="928"/>
      <c r="E26" s="928"/>
      <c r="F26" s="928"/>
      <c r="G26" s="928"/>
      <c r="H26" s="928"/>
      <c r="I26" s="932">
        <f>SUM(I27:I30)</f>
        <v>687.28619999999989</v>
      </c>
      <c r="J26" s="933">
        <f>('CBS (Total)'!J24*'Performance &amp; Economics'!$G$35)/'CBS (CoE)'!J$2/10</f>
        <v>91.825373657404356</v>
      </c>
      <c r="K26" s="930">
        <f t="shared" si="0"/>
        <v>0.29959904024129524</v>
      </c>
      <c r="L26" s="933">
        <f>('CBS (Total)'!L24*'Performance &amp; Economics'!$G$35)/'CBS (CoE)'!L$2/10</f>
        <v>64.563608491300783</v>
      </c>
      <c r="M26" s="930">
        <f t="shared" si="1"/>
        <v>0.41790103381517923</v>
      </c>
      <c r="N26" s="933">
        <f>('CBS (Total)'!N24*'Performance &amp; Economics'!$G$35)/'CBS (CoE)'!N$2/10</f>
        <v>57.1930099368603</v>
      </c>
      <c r="O26" s="930">
        <f t="shared" si="2"/>
        <v>0.53563206557730692</v>
      </c>
      <c r="P26" s="933">
        <f>('CBS (Total)'!P24*'Performance &amp; Economics'!$G$35)/'CBS (CoE)'!P$2/10</f>
        <v>55.5629737180898</v>
      </c>
      <c r="Q26" s="931">
        <f t="shared" si="3"/>
        <v>0.56296703844976648</v>
      </c>
      <c r="R26" s="134"/>
      <c r="S26" s="630">
        <f>SUM(P14,P20,P26,P31,P42)</f>
        <v>79.776735037846507</v>
      </c>
      <c r="T26" s="629">
        <f>P26/S26</f>
        <v>0.69648091880083118</v>
      </c>
      <c r="U26" s="134"/>
      <c r="V26" s="355"/>
      <c r="W26" s="355"/>
      <c r="X26" s="355"/>
      <c r="Y26" s="355"/>
    </row>
    <row r="27" spans="1:27" s="60" customFormat="1" ht="15" outlineLevel="1" x14ac:dyDescent="0.25">
      <c r="A27" s="914" t="s">
        <v>28</v>
      </c>
      <c r="B27" s="915"/>
      <c r="C27" s="915"/>
      <c r="D27" s="915" t="str">
        <f>'CBS (Total)'!D25</f>
        <v>Backward Bent Duct Main Structure</v>
      </c>
      <c r="E27" s="915"/>
      <c r="F27" s="915"/>
      <c r="G27" s="915"/>
      <c r="H27" s="915"/>
      <c r="I27" s="916">
        <f>'1.4 (RM3)'!E22</f>
        <v>205.44</v>
      </c>
      <c r="J27" s="917">
        <f>('CBS (Total)'!J25*'Performance &amp; Economics'!$G$35)/'CBS (CoE)'!J$2/10</f>
        <v>33.939270834799757</v>
      </c>
      <c r="K27" s="906">
        <f t="shared" si="0"/>
        <v>0.11073380443331829</v>
      </c>
      <c r="L27" s="917">
        <f>('CBS (Total)'!L25*'Performance &amp; Economics'!$G$35)/'CBS (CoE)'!L$2/10</f>
        <v>23.863140517496198</v>
      </c>
      <c r="M27" s="906">
        <f t="shared" si="1"/>
        <v>0.1544590106620547</v>
      </c>
      <c r="N27" s="917">
        <f>('CBS (Total)'!N25*'Performance &amp; Economics'!$G$35)/'CBS (CoE)'!N$2/10</f>
        <v>21.138918109351739</v>
      </c>
      <c r="O27" s="906">
        <f t="shared" si="2"/>
        <v>0.19797318559526034</v>
      </c>
      <c r="P27" s="917">
        <f>('CBS (Total)'!P25*'Performance &amp; Economics'!$G$35)/'CBS (CoE)'!P$2/10</f>
        <v>20.536445846012096</v>
      </c>
      <c r="Q27" s="918">
        <f t="shared" si="3"/>
        <v>0.20807637396933235</v>
      </c>
      <c r="R27" s="136"/>
      <c r="S27" s="136"/>
      <c r="T27" s="136"/>
      <c r="U27" s="136"/>
      <c r="V27" s="86"/>
      <c r="W27" s="86"/>
      <c r="X27" s="86"/>
      <c r="Y27" s="86"/>
    </row>
    <row r="28" spans="1:27" s="60" customFormat="1" ht="15" outlineLevel="1" x14ac:dyDescent="0.25">
      <c r="A28" s="897" t="s">
        <v>29</v>
      </c>
      <c r="B28" s="414"/>
      <c r="C28" s="414"/>
      <c r="D28" s="414" t="str">
        <f>'CBS (Total)'!D26</f>
        <v>Stern Float</v>
      </c>
      <c r="E28" s="414"/>
      <c r="F28" s="414"/>
      <c r="G28" s="414"/>
      <c r="H28" s="414"/>
      <c r="I28" s="898">
        <f>'1.4 (RM3)'!E35</f>
        <v>223.64</v>
      </c>
      <c r="J28" s="892">
        <f>('CBS (Total)'!J26*'Performance &amp; Economics'!$G$35)/'CBS (CoE)'!J$2/10</f>
        <v>5.6029609321071208</v>
      </c>
      <c r="K28" s="893">
        <f t="shared" si="0"/>
        <v>1.8280804650266828E-2</v>
      </c>
      <c r="L28" s="892">
        <f>('CBS (Total)'!L26*'Performance &amp; Economics'!$G$35)/'CBS (CoE)'!L$2/10</f>
        <v>3.9395143368790224</v>
      </c>
      <c r="M28" s="893">
        <f t="shared" si="1"/>
        <v>2.5499304524363563E-2</v>
      </c>
      <c r="N28" s="892">
        <f>('CBS (Total)'!N26*'Performance &amp; Economics'!$G$35)/'CBS (CoE)'!N$2/10</f>
        <v>3.4897783423286186</v>
      </c>
      <c r="O28" s="893">
        <f t="shared" si="2"/>
        <v>3.2682965697591729E-2</v>
      </c>
      <c r="P28" s="892">
        <f>('CBS (Total)'!P26*'Performance &amp; Economics'!$G$35)/'CBS (CoE)'!P$2/10</f>
        <v>3.3903174973799706</v>
      </c>
      <c r="Q28" s="894">
        <f t="shared" si="3"/>
        <v>3.4350879248981329E-2</v>
      </c>
    </row>
    <row r="29" spans="1:27" s="59" customFormat="1" ht="15" x14ac:dyDescent="0.25">
      <c r="A29" s="897" t="s">
        <v>30</v>
      </c>
      <c r="B29" s="414"/>
      <c r="C29" s="414"/>
      <c r="D29" s="414" t="str">
        <f>'CBS (Total)'!D27</f>
        <v>Bow Float</v>
      </c>
      <c r="E29" s="414"/>
      <c r="F29" s="414"/>
      <c r="G29" s="414"/>
      <c r="H29" s="414"/>
      <c r="I29" s="898">
        <f>'1.4 (RM3)'!E47</f>
        <v>244.73</v>
      </c>
      <c r="J29" s="892">
        <f>('CBS (Total)'!J27*'Performance &amp; Economics'!$G$35)/'CBS (CoE)'!J$2/10</f>
        <v>5.1143915289881878</v>
      </c>
      <c r="K29" s="893">
        <f t="shared" si="0"/>
        <v>1.6686747164458907E-2</v>
      </c>
      <c r="L29" s="892">
        <f>('CBS (Total)'!L27*'Performance &amp; Economics'!$G$35)/'CBS (CoE)'!L$2/10</f>
        <v>3.5959948671789861</v>
      </c>
      <c r="M29" s="893">
        <f t="shared" si="1"/>
        <v>2.3275805174220669E-2</v>
      </c>
      <c r="N29" s="892">
        <f>('CBS (Total)'!N27*'Performance &amp; Economics'!$G$35)/'CBS (CoE)'!N$2/10</f>
        <v>3.1854751457886303</v>
      </c>
      <c r="O29" s="893">
        <f t="shared" si="2"/>
        <v>2.9833062363173186E-2</v>
      </c>
      <c r="P29" s="892">
        <f>('CBS (Total)'!P27*'Performance &amp; Economics'!$G$35)/'CBS (CoE)'!P$2/10</f>
        <v>3.0946871304811472</v>
      </c>
      <c r="Q29" s="894">
        <f t="shared" si="3"/>
        <v>3.1355536469574556E-2</v>
      </c>
    </row>
    <row r="30" spans="1:27" s="60" customFormat="1" ht="15" outlineLevel="1" x14ac:dyDescent="0.25">
      <c r="A30" s="919" t="s">
        <v>31</v>
      </c>
      <c r="B30" s="102"/>
      <c r="C30" s="102"/>
      <c r="D30" s="102" t="str">
        <f>'CBS (Total)'!D28</f>
        <v>Girders and Structural Supports</v>
      </c>
      <c r="E30" s="102"/>
      <c r="F30" s="102"/>
      <c r="G30" s="102"/>
      <c r="H30" s="102"/>
      <c r="I30" s="920">
        <f>'1.4 (RM3)'!E57</f>
        <v>13.476199999999999</v>
      </c>
      <c r="J30" s="921">
        <f>('CBS (Total)'!J28*'Performance &amp; Economics'!$G$35)/'CBS (CoE)'!J$2/10</f>
        <v>47.168750361509304</v>
      </c>
      <c r="K30" s="901">
        <f t="shared" si="0"/>
        <v>0.15389768399325129</v>
      </c>
      <c r="L30" s="921">
        <f>('CBS (Total)'!L28*'Performance &amp; Economics'!$G$35)/'CBS (CoE)'!L$2/10</f>
        <v>33.164958769746569</v>
      </c>
      <c r="M30" s="901">
        <f t="shared" si="1"/>
        <v>0.21466691345454025</v>
      </c>
      <c r="N30" s="921">
        <f>('CBS (Total)'!N28*'Performance &amp; Economics'!$G$35)/'CBS (CoE)'!N$2/10</f>
        <v>29.378838339391315</v>
      </c>
      <c r="O30" s="901">
        <f t="shared" si="2"/>
        <v>0.27514285192128174</v>
      </c>
      <c r="P30" s="921">
        <f>('CBS (Total)'!P28*'Performance &amp; Economics'!$G$35)/'CBS (CoE)'!P$2/10</f>
        <v>28.541523244216592</v>
      </c>
      <c r="Q30" s="922">
        <f t="shared" si="3"/>
        <v>0.28918424876187826</v>
      </c>
    </row>
    <row r="31" spans="1:27" s="439" customFormat="1" ht="15" outlineLevel="1" x14ac:dyDescent="0.25">
      <c r="A31" s="927">
        <v>1.5</v>
      </c>
      <c r="B31" s="928"/>
      <c r="C31" s="928" t="str">
        <f>'CBS (Total)'!C29</f>
        <v>Power Take Off</v>
      </c>
      <c r="D31" s="928"/>
      <c r="E31" s="928"/>
      <c r="F31" s="928"/>
      <c r="G31" s="928"/>
      <c r="H31" s="928"/>
      <c r="I31" s="932">
        <f>SUM(I32:I40)</f>
        <v>12.462820308390022</v>
      </c>
      <c r="J31" s="934">
        <f>('CBS (Total)'!J29*'Performance &amp; Economics'!$G$35)/'CBS (CoE)'!J$2/10</f>
        <v>19.569288558961055</v>
      </c>
      <c r="K31" s="930">
        <f t="shared" si="0"/>
        <v>6.384880166503884E-2</v>
      </c>
      <c r="L31" s="934">
        <f>('CBS (Total)'!L29*'Performance &amp; Economics'!$G$35)/'CBS (CoE)'!L$2/10</f>
        <v>11.653002870731333</v>
      </c>
      <c r="M31" s="930">
        <f t="shared" si="1"/>
        <v>7.5426421486122885E-2</v>
      </c>
      <c r="N31" s="934">
        <f>('CBS (Total)'!N29*'Performance &amp; Economics'!$G$35)/'CBS (CoE)'!N$2/10</f>
        <v>8.1716442127287792</v>
      </c>
      <c r="O31" s="930">
        <f t="shared" si="2"/>
        <v>7.6530238112294813E-2</v>
      </c>
      <c r="P31" s="934">
        <f>('CBS (Total)'!P29*'Performance &amp; Economics'!$G$35)/'CBS (CoE)'!P$2/10</f>
        <v>7.0296104473722023</v>
      </c>
      <c r="Q31" s="931">
        <f t="shared" si="3"/>
        <v>7.1224391176245336E-2</v>
      </c>
    </row>
    <row r="32" spans="1:27" s="60" customFormat="1" ht="15" outlineLevel="1" x14ac:dyDescent="0.25">
      <c r="A32" s="903" t="s">
        <v>33</v>
      </c>
      <c r="B32" s="904"/>
      <c r="C32" s="904"/>
      <c r="D32" s="904" t="str">
        <f>'CBS (Total)'!D30</f>
        <v>Fabricated Circular Parts</v>
      </c>
      <c r="E32" s="904"/>
      <c r="F32" s="904"/>
      <c r="G32" s="904"/>
      <c r="H32" s="904"/>
      <c r="I32" s="923">
        <f>'1.5 (RM3)'!L4/1000</f>
        <v>2.0735000000000001</v>
      </c>
      <c r="J32" s="905">
        <f>('CBS (Total)'!J30*'Performance &amp; Economics'!$G$35)/'CBS (CoE)'!J$2/10</f>
        <v>14.631892267730493</v>
      </c>
      <c r="K32" s="906">
        <f t="shared" si="0"/>
        <v>4.7739537621501467E-2</v>
      </c>
      <c r="L32" s="905">
        <f>('CBS (Total)'!L30*'Performance &amp; Economics'!$G$35)/'CBS (CoE)'!L$2/10</f>
        <v>8.5277653382810499</v>
      </c>
      <c r="M32" s="906">
        <f t="shared" si="1"/>
        <v>5.5197688516450856E-2</v>
      </c>
      <c r="N32" s="905">
        <f>('CBS (Total)'!N30*'Performance &amp; Economics'!$G$35)/'CBS (CoE)'!N$2/10</f>
        <v>5.8472419122417465</v>
      </c>
      <c r="O32" s="906">
        <f t="shared" si="2"/>
        <v>5.4761416943117147E-2</v>
      </c>
      <c r="P32" s="905">
        <f>('CBS (Total)'!P30*'Performance &amp; Economics'!$G$35)/'CBS (CoE)'!P$2/10</f>
        <v>4.9701556254054839</v>
      </c>
      <c r="Q32" s="908">
        <f t="shared" si="3"/>
        <v>5.0357884141791494E-2</v>
      </c>
    </row>
    <row r="33" spans="1:18" s="60" customFormat="1" ht="15" outlineLevel="1" x14ac:dyDescent="0.25">
      <c r="A33" s="891" t="s">
        <v>35</v>
      </c>
      <c r="B33" s="492"/>
      <c r="C33" s="492"/>
      <c r="D33" s="492" t="str">
        <f>'CBS (Total)'!D31</f>
        <v>Fabricated Rectangular Parts</v>
      </c>
      <c r="E33" s="492"/>
      <c r="F33" s="492"/>
      <c r="G33" s="492"/>
      <c r="H33" s="492"/>
      <c r="I33" s="899">
        <f>'1.5 (RM3)'!L5/1000</f>
        <v>7.9554603083900224</v>
      </c>
      <c r="J33" s="487">
        <f>('CBS (Total)'!J31*'Performance &amp; Economics'!$G$35)/'CBS (CoE)'!J$2/10</f>
        <v>2.7729246554174614</v>
      </c>
      <c r="K33" s="893">
        <f t="shared" si="0"/>
        <v>9.0472331593665876E-3</v>
      </c>
      <c r="L33" s="487">
        <f>('CBS (Total)'!L31*'Performance &amp; Economics'!$G$35)/'CBS (CoE)'!L$2/10</f>
        <v>1.6161170632923021</v>
      </c>
      <c r="M33" s="893">
        <f t="shared" si="1"/>
        <v>1.0460645049094552E-2</v>
      </c>
      <c r="N33" s="487">
        <f>('CBS (Total)'!N31*'Performance &amp; Economics'!$G$35)/'CBS (CoE)'!N$2/10</f>
        <v>1.1081247023943797</v>
      </c>
      <c r="O33" s="893">
        <f t="shared" si="2"/>
        <v>1.0377966187056806E-2</v>
      </c>
      <c r="P33" s="487">
        <f>('CBS (Total)'!P31*'Performance &amp; Economics'!$G$35)/'CBS (CoE)'!P$2/10</f>
        <v>0.94190599703522282</v>
      </c>
      <c r="Q33" s="895">
        <f t="shared" si="3"/>
        <v>9.5434422271814968E-3</v>
      </c>
    </row>
    <row r="34" spans="1:18" s="60" customFormat="1" ht="15" outlineLevel="1" x14ac:dyDescent="0.25">
      <c r="A34" s="891" t="s">
        <v>36</v>
      </c>
      <c r="B34" s="492"/>
      <c r="C34" s="492"/>
      <c r="D34" s="492" t="str">
        <f>'CBS (Total)'!D32</f>
        <v>Ducting</v>
      </c>
      <c r="E34" s="492"/>
      <c r="F34" s="492"/>
      <c r="G34" s="492"/>
      <c r="H34" s="492"/>
      <c r="I34" s="899">
        <f>'1.5 (RM3)'!L6/1000</f>
        <v>1.2927200000000001</v>
      </c>
      <c r="J34" s="487">
        <f>('CBS (Total)'!J32*'Performance &amp; Economics'!$G$35)/'CBS (CoE)'!J$2/10</f>
        <v>6.7125610201679772E-2</v>
      </c>
      <c r="K34" s="893">
        <f t="shared" si="0"/>
        <v>2.1901101613881559E-4</v>
      </c>
      <c r="L34" s="487">
        <f>('CBS (Total)'!L32*'Performance &amp; Economics'!$G$35)/'CBS (CoE)'!L$2/10</f>
        <v>5.6609284429306274E-2</v>
      </c>
      <c r="M34" s="893">
        <f t="shared" si="1"/>
        <v>3.6641506011443186E-4</v>
      </c>
      <c r="N34" s="487">
        <f>('CBS (Total)'!N32*'Performance &amp; Economics'!$G$35)/'CBS (CoE)'!N$2/10</f>
        <v>5.0253171847601162E-2</v>
      </c>
      <c r="O34" s="893">
        <f t="shared" si="2"/>
        <v>4.7063811238922261E-4</v>
      </c>
      <c r="P34" s="487">
        <f>('CBS (Total)'!P32*'Performance &amp; Economics'!$G$35)/'CBS (CoE)'!P$2/10</f>
        <v>4.7740513255221093E-2</v>
      </c>
      <c r="Q34" s="895">
        <f t="shared" si="3"/>
        <v>4.8370944826902647E-4</v>
      </c>
    </row>
    <row r="35" spans="1:18" s="60" customFormat="1" ht="15" outlineLevel="1" x14ac:dyDescent="0.25">
      <c r="A35" s="891" t="s">
        <v>37</v>
      </c>
      <c r="B35" s="492"/>
      <c r="C35" s="492"/>
      <c r="D35" s="492" t="str">
        <f>'CBS (Total)'!D33</f>
        <v>Rotor Blades</v>
      </c>
      <c r="E35" s="492"/>
      <c r="F35" s="492"/>
      <c r="G35" s="492"/>
      <c r="H35" s="492"/>
      <c r="I35" s="899">
        <f>'1.5 (RM3)'!L7/1000</f>
        <v>1.1411399999999998</v>
      </c>
      <c r="J35" s="487">
        <f>('CBS (Total)'!J33*'Performance &amp; Economics'!$G$35)/'CBS (CoE)'!J$2/10</f>
        <v>0.65760304454438434</v>
      </c>
      <c r="K35" s="893">
        <f t="shared" si="0"/>
        <v>2.1455642722491091E-3</v>
      </c>
      <c r="L35" s="487">
        <f>('CBS (Total)'!L33*'Performance &amp; Economics'!$G$35)/'CBS (CoE)'!L$2/10</f>
        <v>0.38326447099268535</v>
      </c>
      <c r="M35" s="893">
        <f t="shared" si="1"/>
        <v>2.4807569216651146E-3</v>
      </c>
      <c r="N35" s="487">
        <f>('CBS (Total)'!N33*'Performance &amp; Economics'!$G$35)/'CBS (CoE)'!N$2/10</f>
        <v>0.26279335668414622</v>
      </c>
      <c r="O35" s="893">
        <f t="shared" si="2"/>
        <v>2.461149511384686E-3</v>
      </c>
      <c r="P35" s="487">
        <f>('CBS (Total)'!P33*'Performance &amp; Economics'!$G$35)/'CBS (CoE)'!P$2/10</f>
        <v>0.22337435318152429</v>
      </c>
      <c r="Q35" s="895">
        <f t="shared" si="3"/>
        <v>2.2632409617646745E-3</v>
      </c>
    </row>
    <row r="36" spans="1:18" s="60" customFormat="1" ht="15" outlineLevel="1" x14ac:dyDescent="0.25">
      <c r="A36" s="891" t="s">
        <v>40</v>
      </c>
      <c r="B36" s="492"/>
      <c r="C36" s="492"/>
      <c r="D36" s="492" t="str">
        <f>'CBS (Total)'!D34</f>
        <v>Bearings</v>
      </c>
      <c r="E36" s="492"/>
      <c r="F36" s="492"/>
      <c r="G36" s="492"/>
      <c r="H36" s="492"/>
      <c r="I36" s="899">
        <f>'1.5 (RM3)'!L8/1000</f>
        <v>0</v>
      </c>
      <c r="J36" s="487">
        <f>('CBS (Total)'!J34*'Performance &amp; Economics'!$G$35)/'CBS (CoE)'!J$2/10</f>
        <v>0.38313615381837401</v>
      </c>
      <c r="K36" s="893">
        <f t="shared" si="0"/>
        <v>1.2500599713755724E-3</v>
      </c>
      <c r="L36" s="487">
        <f>('CBS (Total)'!L34*'Performance &amp; Economics'!$G$35)/'CBS (CoE)'!L$2/10</f>
        <v>0.33180564231478515</v>
      </c>
      <c r="M36" s="893">
        <f t="shared" si="1"/>
        <v>2.1476792296660652E-3</v>
      </c>
      <c r="N36" s="487">
        <f>('CBS (Total)'!N34*'Performance &amp; Economics'!$G$35)/'CBS (CoE)'!N$2/10</f>
        <v>0.30006790920757509</v>
      </c>
      <c r="O36" s="893">
        <f t="shared" si="2"/>
        <v>2.8102384224882528E-3</v>
      </c>
      <c r="P36" s="487">
        <f>('CBS (Total)'!P34*'Performance &amp; Economics'!$G$35)/'CBS (CoE)'!P$2/10</f>
        <v>0.28735211536345329</v>
      </c>
      <c r="Q36" s="895">
        <f t="shared" si="3"/>
        <v>2.9114670895623979E-3</v>
      </c>
    </row>
    <row r="37" spans="1:18" s="60" customFormat="1" ht="15" outlineLevel="1" x14ac:dyDescent="0.25">
      <c r="A37" s="891" t="s">
        <v>42</v>
      </c>
      <c r="B37" s="492"/>
      <c r="C37" s="492"/>
      <c r="D37" s="492" t="str">
        <f>'CBS (Total)'!D35</f>
        <v>Flex Coupling</v>
      </c>
      <c r="E37" s="492"/>
      <c r="F37" s="492"/>
      <c r="G37" s="492"/>
      <c r="H37" s="492"/>
      <c r="I37" s="899">
        <f>'1.5 (RM3)'!L9/1000</f>
        <v>0</v>
      </c>
      <c r="J37" s="487">
        <f>('CBS (Total)'!J35*'Performance &amp; Economics'!$G$35)/'CBS (CoE)'!J$2/10</f>
        <v>1.673359228674353E-2</v>
      </c>
      <c r="K37" s="893">
        <f t="shared" si="0"/>
        <v>5.4596763282468267E-5</v>
      </c>
      <c r="L37" s="487">
        <f>('CBS (Total)'!L35*'Performance &amp; Economics'!$G$35)/'CBS (CoE)'!L$2/10</f>
        <v>1.411200110417179E-2</v>
      </c>
      <c r="M37" s="893">
        <f t="shared" si="1"/>
        <v>9.1342785641062061E-5</v>
      </c>
      <c r="N37" s="487">
        <f>('CBS (Total)'!N35*'Performance &amp; Economics'!$G$35)/'CBS (CoE)'!N$2/10</f>
        <v>1.2527500104458977E-2</v>
      </c>
      <c r="O37" s="893">
        <f t="shared" si="2"/>
        <v>1.1732431576654406E-4</v>
      </c>
      <c r="P37" s="487">
        <f>('CBS (Total)'!P35*'Performance &amp; Economics'!$G$35)/'CBS (CoE)'!P$2/10</f>
        <v>1.1901125099236026E-2</v>
      </c>
      <c r="Q37" s="895">
        <f t="shared" si="3"/>
        <v>1.205828396682046E-4</v>
      </c>
    </row>
    <row r="38" spans="1:18" s="60" customFormat="1" ht="15" outlineLevel="1" x14ac:dyDescent="0.25">
      <c r="A38" s="891" t="s">
        <v>44</v>
      </c>
      <c r="B38" s="492"/>
      <c r="C38" s="492"/>
      <c r="D38" s="492" t="str">
        <f>'CBS (Total)'!D36</f>
        <v>Generator</v>
      </c>
      <c r="E38" s="492"/>
      <c r="F38" s="492"/>
      <c r="G38" s="492"/>
      <c r="H38" s="492"/>
      <c r="I38" s="899">
        <f>'1.5 (RM3)'!L10/1000</f>
        <v>0</v>
      </c>
      <c r="J38" s="487">
        <f>('CBS (Total)'!J36*'Performance &amp; Economics'!$G$35)/'CBS (CoE)'!J$2/10</f>
        <v>0.41833980716858826</v>
      </c>
      <c r="K38" s="893">
        <f t="shared" si="0"/>
        <v>1.3649190820617066E-3</v>
      </c>
      <c r="L38" s="487">
        <f>('CBS (Total)'!L36*'Performance &amp; Economics'!$G$35)/'CBS (CoE)'!L$2/10</f>
        <v>0.36909392326779134</v>
      </c>
      <c r="M38" s="893">
        <f t="shared" si="1"/>
        <v>2.3890351811623597E-3</v>
      </c>
      <c r="N38" s="487">
        <f>('CBS (Total)'!N36*'Performance &amp; Economics'!$G$35)/'CBS (CoE)'!N$2/10</f>
        <v>0.33815694485667519</v>
      </c>
      <c r="O38" s="893">
        <f t="shared" si="2"/>
        <v>3.1669552461542597E-3</v>
      </c>
      <c r="P38" s="487">
        <f>('CBS (Total)'!P36*'Performance &amp; Economics'!$G$35)/'CBS (CoE)'!P$2/10</f>
        <v>0.32564513789697813</v>
      </c>
      <c r="Q38" s="895">
        <f t="shared" si="3"/>
        <v>3.2994540536576988E-3</v>
      </c>
      <c r="R38" s="136"/>
    </row>
    <row r="39" spans="1:18" s="60" customFormat="1" ht="15" outlineLevel="1" x14ac:dyDescent="0.25">
      <c r="A39" s="891" t="s">
        <v>46</v>
      </c>
      <c r="B39" s="492"/>
      <c r="C39" s="492"/>
      <c r="D39" s="492" t="str">
        <f>'CBS (Total)'!D37</f>
        <v>Power Electronics</v>
      </c>
      <c r="E39" s="492"/>
      <c r="F39" s="492"/>
      <c r="G39" s="492"/>
      <c r="H39" s="492"/>
      <c r="I39" s="899">
        <f>'1.5 (RM3)'!L11/1000</f>
        <v>0</v>
      </c>
      <c r="J39" s="487">
        <f>('CBS (Total)'!J37*'Performance &amp; Economics'!$G$35)/'CBS (CoE)'!J$2/10</f>
        <v>0.47810263676410092</v>
      </c>
      <c r="K39" s="893">
        <f t="shared" si="0"/>
        <v>1.5599075223562363E-3</v>
      </c>
      <c r="L39" s="487">
        <f>('CBS (Total)'!L37*'Performance &amp; Economics'!$G$35)/'CBS (CoE)'!L$2/10</f>
        <v>0.22593410360933372</v>
      </c>
      <c r="M39" s="893">
        <f t="shared" si="1"/>
        <v>1.4624042503009749E-3</v>
      </c>
      <c r="N39" s="487">
        <f>('CBS (Total)'!N37*'Performance &amp; Economics'!$G$35)/'CBS (CoE)'!N$2/10</f>
        <v>0.13379489733237768</v>
      </c>
      <c r="O39" s="893">
        <f t="shared" si="2"/>
        <v>1.2530348953650352E-3</v>
      </c>
      <c r="P39" s="487">
        <f>('CBS (Total)'!P37*'Performance &amp; Economics'!$G$35)/'CBS (CoE)'!P$2/10</f>
        <v>0.1067683280712374</v>
      </c>
      <c r="Q39" s="895">
        <f t="shared" si="3"/>
        <v>1.0817824430971439E-3</v>
      </c>
    </row>
    <row r="40" spans="1:18" s="60" customFormat="1" ht="15" outlineLevel="1" x14ac:dyDescent="0.25">
      <c r="A40" s="900" t="s">
        <v>61</v>
      </c>
      <c r="B40" s="78"/>
      <c r="C40" s="78"/>
      <c r="D40" s="78" t="str">
        <f>'CBS (Total)'!D38</f>
        <v>Mechanical Face Seal</v>
      </c>
      <c r="E40" s="78"/>
      <c r="F40" s="78"/>
      <c r="G40" s="78"/>
      <c r="H40" s="78"/>
      <c r="I40" s="924">
        <f>'1.5 (RM3)'!L12/1000</f>
        <v>0</v>
      </c>
      <c r="J40" s="523">
        <f>('CBS (Total)'!J38*'Performance &amp; Economics'!$G$35)/'CBS (CoE)'!J$2/10</f>
        <v>0.14343079102923026</v>
      </c>
      <c r="K40" s="901">
        <f t="shared" si="0"/>
        <v>4.6797225670687086E-4</v>
      </c>
      <c r="L40" s="523">
        <f>('CBS (Total)'!L38*'Performance &amp; Economics'!$G$35)/'CBS (CoE)'!L$2/10</f>
        <v>0.12830104343990562</v>
      </c>
      <c r="M40" s="901">
        <f t="shared" si="1"/>
        <v>8.3045449202745665E-4</v>
      </c>
      <c r="N40" s="523">
        <f>('CBS (Total)'!N38*'Performance &amp; Economics'!$G$35)/'CBS (CoE)'!N$2/10</f>
        <v>0.11868381805982053</v>
      </c>
      <c r="O40" s="901">
        <f t="shared" si="2"/>
        <v>1.1115144785728824E-3</v>
      </c>
      <c r="P40" s="523">
        <f>('CBS (Total)'!P38*'Performance &amp; Economics'!$G$35)/'CBS (CoE)'!P$2/10</f>
        <v>0.11476725206384644</v>
      </c>
      <c r="Q40" s="902">
        <f t="shared" si="3"/>
        <v>1.1628279712532043E-3</v>
      </c>
    </row>
    <row r="41" spans="1:18" s="439" customFormat="1" ht="15" x14ac:dyDescent="0.25">
      <c r="A41" s="927">
        <v>1.6</v>
      </c>
      <c r="B41" s="928"/>
      <c r="C41" s="928" t="str">
        <f>'CBS (Total)'!C39</f>
        <v>Subsystem Integration &amp; Profit Margin</v>
      </c>
      <c r="D41" s="928"/>
      <c r="E41" s="928"/>
      <c r="F41" s="928"/>
      <c r="G41" s="928"/>
      <c r="H41" s="928"/>
      <c r="I41" s="928"/>
      <c r="J41" s="935">
        <f>('CBS (Total)'!J39*'Performance &amp; Economics'!$G$35)/'CBS (CoE)'!J$2/10</f>
        <v>11.139466221636543</v>
      </c>
      <c r="K41" s="930">
        <f t="shared" si="0"/>
        <v>3.6344784190633417E-2</v>
      </c>
      <c r="L41" s="935">
        <f>('CBS (Total)'!L39*'Performance &amp; Economics'!$G$35)/'CBS (CoE)'!L$2/10</f>
        <v>7.621661136203211</v>
      </c>
      <c r="M41" s="930">
        <f t="shared" si="1"/>
        <v>4.9332745530130208E-2</v>
      </c>
      <c r="N41" s="935">
        <f>('CBS (Total)'!N39*'Performance &amp; Economics'!$G$35)/'CBS (CoE)'!N$2/10</f>
        <v>6.536465414958907</v>
      </c>
      <c r="O41" s="930">
        <f t="shared" si="2"/>
        <v>6.1216230368960171E-2</v>
      </c>
      <c r="P41" s="935">
        <f>('CBS (Total)'!P39*'Performance &amp; Economics'!$G$35)/'CBS (CoE)'!P$2/10</f>
        <v>6.2592584165462011</v>
      </c>
      <c r="Q41" s="931">
        <f t="shared" si="3"/>
        <v>6.3419142962601177E-2</v>
      </c>
    </row>
    <row r="42" spans="1:18" s="439" customFormat="1" ht="15" outlineLevel="1" x14ac:dyDescent="0.25">
      <c r="A42" s="927">
        <v>1.7</v>
      </c>
      <c r="B42" s="928"/>
      <c r="C42" s="928" t="str">
        <f>'CBS (Total)'!C40</f>
        <v>Installation</v>
      </c>
      <c r="D42" s="928"/>
      <c r="E42" s="928"/>
      <c r="F42" s="928"/>
      <c r="G42" s="928"/>
      <c r="H42" s="928"/>
      <c r="I42" s="928"/>
      <c r="J42" s="929">
        <f>('CBS (Total)'!J40*'Performance &amp; Economics'!$G$35)/'CBS (CoE)'!J$2/10</f>
        <v>70.622002633814219</v>
      </c>
      <c r="K42" s="930">
        <f t="shared" si="0"/>
        <v>0.23041871071441988</v>
      </c>
      <c r="L42" s="929">
        <f>('CBS (Total)'!L40*'Performance &amp; Economics'!$G$35)/'CBS (CoE)'!L$2/10</f>
        <v>10.855288281729731</v>
      </c>
      <c r="M42" s="930">
        <f t="shared" si="1"/>
        <v>7.0263052225587555E-2</v>
      </c>
      <c r="N42" s="929">
        <f>('CBS (Total)'!N40*'Performance &amp; Economics'!$G$35)/'CBS (CoE)'!N$2/10</f>
        <v>5.1470678129388405</v>
      </c>
      <c r="O42" s="930">
        <f t="shared" si="2"/>
        <v>4.8204047441365513E-2</v>
      </c>
      <c r="P42" s="929">
        <f>('CBS (Total)'!P40*'Performance &amp; Economics'!$G$35)/'CBS (CoE)'!P$2/10</f>
        <v>4.5251925298076561</v>
      </c>
      <c r="Q42" s="931">
        <f t="shared" si="3"/>
        <v>4.5849494122583552E-2</v>
      </c>
    </row>
    <row r="43" spans="1:18" s="60" customFormat="1" ht="15" outlineLevel="1" x14ac:dyDescent="0.25">
      <c r="A43" s="903" t="s">
        <v>73</v>
      </c>
      <c r="B43" s="904"/>
      <c r="C43" s="904"/>
      <c r="D43" s="904" t="str">
        <f>'CBS (Total)'!D41</f>
        <v>Transport to Staging Site</v>
      </c>
      <c r="E43" s="904"/>
      <c r="F43" s="904"/>
      <c r="G43" s="904"/>
      <c r="H43" s="904"/>
      <c r="I43" s="904"/>
      <c r="J43" s="905">
        <f>('CBS (Total)'!J41*'Performance &amp; Economics'!$G$35)/'CBS (CoE)'!J$2/10</f>
        <v>0.35558883609330005</v>
      </c>
      <c r="K43" s="906">
        <f t="shared" si="0"/>
        <v>1.1601812197524508E-3</v>
      </c>
      <c r="L43" s="905">
        <f>('CBS (Total)'!L41*'Performance &amp; Economics'!$G$35)/'CBS (CoE)'!L$2/10</f>
        <v>0.35558883609330005</v>
      </c>
      <c r="M43" s="906">
        <f t="shared" si="1"/>
        <v>2.3016207688662371E-3</v>
      </c>
      <c r="N43" s="905">
        <f>('CBS (Total)'!N41*'Performance &amp; Economics'!$G$35)/'CBS (CoE)'!N$2/10</f>
        <v>0.35558883609330005</v>
      </c>
      <c r="O43" s="906">
        <f t="shared" si="2"/>
        <v>3.3302108593891676E-3</v>
      </c>
      <c r="P43" s="905">
        <f>('CBS (Total)'!P41*'Performance &amp; Economics'!$G$35)/'CBS (CoE)'!P$2/10</f>
        <v>0.35558883609330005</v>
      </c>
      <c r="Q43" s="908">
        <f t="shared" si="3"/>
        <v>3.6028452144574435E-3</v>
      </c>
    </row>
    <row r="44" spans="1:18" s="60" customFormat="1" ht="15" outlineLevel="1" x14ac:dyDescent="0.25">
      <c r="A44" s="891" t="s">
        <v>74</v>
      </c>
      <c r="B44" s="492"/>
      <c r="C44" s="492"/>
      <c r="D44" s="492" t="str">
        <f>'CBS (Total)'!D42</f>
        <v>Cable Shore Landing</v>
      </c>
      <c r="E44" s="492"/>
      <c r="F44" s="492"/>
      <c r="G44" s="492"/>
      <c r="H44" s="492"/>
      <c r="I44" s="492"/>
      <c r="J44" s="487">
        <f>('CBS (Total)'!J42*'Performance &amp; Economics'!$G$35)/'CBS (CoE)'!J$2/10</f>
        <v>7.9723614680413819</v>
      </c>
      <c r="K44" s="893">
        <f t="shared" si="0"/>
        <v>2.6011457935290239E-2</v>
      </c>
      <c r="L44" s="487">
        <f>('CBS (Total)'!L42*'Performance &amp; Economics'!$G$35)/'CBS (CoE)'!L$2/10</f>
        <v>0.91700085731354564</v>
      </c>
      <c r="M44" s="893">
        <f t="shared" si="1"/>
        <v>5.935473794535049E-3</v>
      </c>
      <c r="N44" s="487">
        <f>('CBS (Total)'!N42*'Performance &amp; Economics'!$G$35)/'CBS (CoE)'!N$2/10</f>
        <v>0.18340017146270912</v>
      </c>
      <c r="O44" s="893">
        <f t="shared" si="2"/>
        <v>1.717605224419072E-3</v>
      </c>
      <c r="P44" s="487">
        <f>('CBS (Total)'!P42*'Performance &amp; Economics'!$G$35)/'CBS (CoE)'!P$2/10</f>
        <v>0.1833523611990327</v>
      </c>
      <c r="Q44" s="895">
        <f t="shared" si="3"/>
        <v>1.8577359862109977E-3</v>
      </c>
    </row>
    <row r="45" spans="1:18" s="60" customFormat="1" ht="15" outlineLevel="1" x14ac:dyDescent="0.25">
      <c r="A45" s="891" t="s">
        <v>75</v>
      </c>
      <c r="B45" s="492"/>
      <c r="C45" s="492"/>
      <c r="D45" s="492" t="str">
        <f>'CBS (Total)'!D43</f>
        <v>Mooring/Foundation System</v>
      </c>
      <c r="E45" s="492"/>
      <c r="F45" s="492"/>
      <c r="G45" s="492"/>
      <c r="H45" s="492"/>
      <c r="I45" s="492"/>
      <c r="J45" s="487">
        <f>('CBS (Total)'!J43*'Performance &amp; Economics'!$G$35)/'CBS (CoE)'!J$2/10</f>
        <v>38.174506041016222</v>
      </c>
      <c r="K45" s="893">
        <f t="shared" si="0"/>
        <v>0.12455212449496807</v>
      </c>
      <c r="L45" s="487">
        <f>('CBS (Total)'!L43*'Performance &amp; Economics'!$G$35)/'CBS (CoE)'!L$2/10</f>
        <v>4.6669493520273502</v>
      </c>
      <c r="M45" s="893">
        <f t="shared" si="1"/>
        <v>3.0207775007465614E-2</v>
      </c>
      <c r="N45" s="487">
        <f>('CBS (Total)'!N43*'Performance &amp; Economics'!$G$35)/'CBS (CoE)'!N$2/10</f>
        <v>1.6886491369268721</v>
      </c>
      <c r="O45" s="893">
        <f t="shared" si="2"/>
        <v>1.581477572601997E-2</v>
      </c>
      <c r="P45" s="487">
        <f>('CBS (Total)'!P43*'Performance &amp; Economics'!$G$35)/'CBS (CoE)'!P$2/10</f>
        <v>1.3163616100393125</v>
      </c>
      <c r="Q45" s="895">
        <f t="shared" si="3"/>
        <v>1.3337446640144935E-2</v>
      </c>
    </row>
    <row r="46" spans="1:18" s="60" customFormat="1" ht="15" outlineLevel="1" x14ac:dyDescent="0.25">
      <c r="A46" s="891" t="s">
        <v>76</v>
      </c>
      <c r="B46" s="492"/>
      <c r="C46" s="492"/>
      <c r="D46" s="492" t="str">
        <f>'CBS (Total)'!D44</f>
        <v>Cable Installation</v>
      </c>
      <c r="E46" s="492"/>
      <c r="F46" s="492"/>
      <c r="G46" s="492"/>
      <c r="H46" s="492"/>
      <c r="I46" s="492"/>
      <c r="J46" s="487">
        <f>('CBS (Total)'!J44*'Performance &amp; Economics'!$G$35)/'CBS (CoE)'!J$2/10</f>
        <v>18.018896880723801</v>
      </c>
      <c r="K46" s="893">
        <f t="shared" si="0"/>
        <v>5.8790332090703293E-2</v>
      </c>
      <c r="L46" s="487">
        <f>('CBS (Total)'!L44*'Performance &amp; Economics'!$G$35)/'CBS (CoE)'!L$2/10</f>
        <v>2.7253817687904034</v>
      </c>
      <c r="M46" s="893">
        <f t="shared" si="1"/>
        <v>1.7640585545524622E-2</v>
      </c>
      <c r="N46" s="487">
        <f>('CBS (Total)'!N44*'Performance &amp; Economics'!$G$35)/'CBS (CoE)'!N$2/10</f>
        <v>1.0766428178783272</v>
      </c>
      <c r="O46" s="893">
        <f t="shared" si="2"/>
        <v>1.008312758964402E-2</v>
      </c>
      <c r="P46" s="487">
        <f>('CBS (Total)'!P44*'Performance &amp; Economics'!$G$35)/'CBS (CoE)'!P$2/10</f>
        <v>0.87055044901431755</v>
      </c>
      <c r="Q46" s="895">
        <f t="shared" si="3"/>
        <v>8.8204639764114055E-3</v>
      </c>
    </row>
    <row r="47" spans="1:18" s="60" customFormat="1" ht="15" outlineLevel="1" x14ac:dyDescent="0.25">
      <c r="A47" s="891" t="s">
        <v>77</v>
      </c>
      <c r="B47" s="492"/>
      <c r="C47" s="492"/>
      <c r="D47" s="492" t="str">
        <f>'CBS (Total)'!D45</f>
        <v>Device Installation</v>
      </c>
      <c r="E47" s="492"/>
      <c r="F47" s="492"/>
      <c r="G47" s="492"/>
      <c r="H47" s="492"/>
      <c r="I47" s="492"/>
      <c r="J47" s="487">
        <f>('CBS (Total)'!J45*'Performance &amp; Economics'!$G$35)/'CBS (CoE)'!J$2/10</f>
        <v>3.0503247039697614</v>
      </c>
      <c r="K47" s="893">
        <f t="shared" si="0"/>
        <v>9.9523074868529352E-3</v>
      </c>
      <c r="L47" s="487">
        <f>('CBS (Total)'!L45*'Performance &amp; Economics'!$G$35)/'CBS (CoE)'!L$2/10</f>
        <v>1.0951837337525663</v>
      </c>
      <c r="M47" s="893">
        <f t="shared" si="1"/>
        <v>7.0887985545980197E-3</v>
      </c>
      <c r="N47" s="487">
        <f>('CBS (Total)'!N45*'Performance &amp; Economics'!$G$35)/'CBS (CoE)'!N$2/10</f>
        <v>0.92139342528881563</v>
      </c>
      <c r="O47" s="893">
        <f t="shared" si="2"/>
        <v>8.6291640209466367E-3</v>
      </c>
      <c r="P47" s="487">
        <f>('CBS (Total)'!P45*'Performance &amp; Economics'!$G$35)/'CBS (CoE)'!P$2/10</f>
        <v>0.89966963673084677</v>
      </c>
      <c r="Q47" s="895">
        <f t="shared" si="3"/>
        <v>9.1155011526793863E-3</v>
      </c>
    </row>
    <row r="48" spans="1:18" s="80" customFormat="1" ht="15" x14ac:dyDescent="0.25">
      <c r="A48" s="900" t="s">
        <v>78</v>
      </c>
      <c r="B48" s="78"/>
      <c r="C48" s="78"/>
      <c r="D48" s="78" t="str">
        <f>'CBS (Total)'!D46</f>
        <v>Device Comissioning</v>
      </c>
      <c r="E48" s="78"/>
      <c r="F48" s="78"/>
      <c r="G48" s="78"/>
      <c r="H48" s="78"/>
      <c r="I48" s="78"/>
      <c r="J48" s="523">
        <f>('CBS (Total)'!J46*'Performance &amp; Economics'!$G$35)/'CBS (CoE)'!J$2/10</f>
        <v>3.0503247039697614</v>
      </c>
      <c r="K48" s="901">
        <f t="shared" si="0"/>
        <v>9.9523074868529352E-3</v>
      </c>
      <c r="L48" s="523">
        <f>('CBS (Total)'!L46*'Performance &amp; Economics'!$G$35)/'CBS (CoE)'!L$2/10</f>
        <v>1.0951837337525663</v>
      </c>
      <c r="M48" s="901">
        <f t="shared" si="1"/>
        <v>7.0887985545980197E-3</v>
      </c>
      <c r="N48" s="523">
        <f>('CBS (Total)'!N46*'Performance &amp; Economics'!$G$35)/'CBS (CoE)'!N$2/10</f>
        <v>0.92139342528881563</v>
      </c>
      <c r="O48" s="901">
        <f t="shared" si="2"/>
        <v>8.6291640209466367E-3</v>
      </c>
      <c r="P48" s="523">
        <f>('CBS (Total)'!P46*'Performance &amp; Economics'!$G$35)/'CBS (CoE)'!P$2/10</f>
        <v>0.89966963673084677</v>
      </c>
      <c r="Q48" s="902">
        <f t="shared" si="3"/>
        <v>9.1155011526793863E-3</v>
      </c>
    </row>
    <row r="49" spans="1:18" s="80" customFormat="1" ht="15" x14ac:dyDescent="0.25">
      <c r="A49" s="936">
        <v>1.8</v>
      </c>
      <c r="B49" s="937"/>
      <c r="C49" s="938" t="str">
        <f>'CBS (Total)'!C47</f>
        <v>Decommissioning</v>
      </c>
      <c r="D49" s="937"/>
      <c r="E49" s="937"/>
      <c r="F49" s="937"/>
      <c r="G49" s="937"/>
      <c r="H49" s="937"/>
      <c r="I49" s="937"/>
      <c r="J49" s="939">
        <f>('CBS (Total)'!J47*'Performance &amp; Economics'!$G$35)/'CBS (CoE)'!J$2/10</f>
        <v>70.622002633814219</v>
      </c>
      <c r="K49" s="940">
        <f t="shared" si="0"/>
        <v>0.23041871071441988</v>
      </c>
      <c r="L49" s="939">
        <f>('CBS (Total)'!L47*'Performance &amp; Economics'!$G$35)/'CBS (CoE)'!L$2/10</f>
        <v>10.855288281729731</v>
      </c>
      <c r="M49" s="940">
        <f t="shared" si="1"/>
        <v>7.0263052225587555E-2</v>
      </c>
      <c r="N49" s="939">
        <f>('CBS (Total)'!N47*'Performance &amp; Economics'!$G$35)/'CBS (CoE)'!N$2/10</f>
        <v>5.1470678129388405</v>
      </c>
      <c r="O49" s="940">
        <f t="shared" si="2"/>
        <v>4.8204047441365513E-2</v>
      </c>
      <c r="P49" s="939">
        <f>('CBS (Total)'!P47*'Performance &amp; Economics'!$G$35)/'CBS (CoE)'!P$2/10</f>
        <v>4.5251925298076561</v>
      </c>
      <c r="Q49" s="941">
        <f t="shared" si="3"/>
        <v>4.5849494122583552E-2</v>
      </c>
    </row>
    <row r="50" spans="1:18" s="439" customFormat="1" ht="15" outlineLevel="1" x14ac:dyDescent="0.25">
      <c r="A50" s="942">
        <v>1.9</v>
      </c>
      <c r="B50" s="928"/>
      <c r="C50" s="928" t="str">
        <f>'CBS (Total)'!C48</f>
        <v>Contingency</v>
      </c>
      <c r="D50" s="928"/>
      <c r="E50" s="928"/>
      <c r="F50" s="928"/>
      <c r="G50" s="928"/>
      <c r="H50" s="928"/>
      <c r="I50" s="928"/>
      <c r="J50" s="943">
        <f>('CBS (Total)'!J48*'Performance &amp; Economics'!$G$35)/'CBS (CoE)'!J$2/10</f>
        <v>27.863110759163241</v>
      </c>
      <c r="K50" s="944">
        <f t="shared" si="0"/>
        <v>9.0909090909090925E-2</v>
      </c>
      <c r="L50" s="943">
        <f>('CBS (Total)'!L48*'Performance &amp; Economics'!$G$35)/'CBS (CoE)'!L$2/10</f>
        <v>14.044997448727113</v>
      </c>
      <c r="M50" s="944">
        <f t="shared" si="1"/>
        <v>9.0909090909090884E-2</v>
      </c>
      <c r="N50" s="943">
        <f>('CBS (Total)'!N48*'Performance &amp; Economics'!$G$35)/'CBS (CoE)'!N$2/10</f>
        <v>9.7069702765286703</v>
      </c>
      <c r="O50" s="944">
        <f t="shared" si="2"/>
        <v>9.0909090909090939E-2</v>
      </c>
      <c r="P50" s="943">
        <f>('CBS (Total)'!P48*'Performance &amp; Economics'!$G$35)/'CBS (CoE)'!P$2/10</f>
        <v>8.9724248205127761</v>
      </c>
      <c r="Q50" s="945">
        <f t="shared" si="3"/>
        <v>9.0909090909090912E-2</v>
      </c>
      <c r="R50" s="80"/>
    </row>
    <row r="51" spans="1:18" ht="15" outlineLevel="1" x14ac:dyDescent="0.25">
      <c r="A51" s="422"/>
      <c r="B51" s="491"/>
      <c r="C51" s="491"/>
      <c r="D51" s="491"/>
      <c r="E51" s="491"/>
      <c r="F51" s="491"/>
      <c r="G51" s="491"/>
      <c r="H51" s="491"/>
      <c r="I51" s="491"/>
      <c r="J51" s="491">
        <f>('CBS (Total)'!J49*'Performance &amp; Economics'!$G$35)/'CBS (CoE)'!J$2/10</f>
        <v>0</v>
      </c>
      <c r="K51" s="77"/>
      <c r="L51" s="491">
        <f>('CBS (Total)'!L49*'Performance &amp; Economics'!$G$35)/'CBS (CoE)'!L$2/10</f>
        <v>0</v>
      </c>
      <c r="M51" s="77"/>
      <c r="N51" s="491">
        <f>('CBS (Total)'!N49*'Performance &amp; Economics'!$G$35)/'CBS (CoE)'!N$2/10</f>
        <v>0</v>
      </c>
      <c r="O51" s="77"/>
      <c r="P51" s="491">
        <f>('CBS (Total)'!P49*'Performance &amp; Economics'!$G$35)/'CBS (CoE)'!P$2/10</f>
        <v>0</v>
      </c>
      <c r="Q51" s="491"/>
      <c r="R51" s="439"/>
    </row>
    <row r="52" spans="1:18" ht="15" outlineLevel="1" x14ac:dyDescent="0.25">
      <c r="A52" s="789" t="s">
        <v>457</v>
      </c>
      <c r="B52" s="790"/>
      <c r="C52" s="790"/>
      <c r="D52" s="790"/>
      <c r="E52" s="790"/>
      <c r="F52" s="790"/>
      <c r="G52" s="790"/>
      <c r="H52" s="790"/>
      <c r="I52" s="607">
        <f>I31+I26</f>
        <v>699.74902030838996</v>
      </c>
      <c r="J52" s="615">
        <f>('CBS (Total)'!J50*'Performance &amp; Economics'!$G$35)/'CBS (CoE)'!J$2/10</f>
        <v>306.49421835079562</v>
      </c>
      <c r="K52" s="606">
        <f t="shared" ref="K52" si="4">J52/$J$52</f>
        <v>1</v>
      </c>
      <c r="L52" s="615">
        <f>('CBS (Total)'!L50*'Performance &amp; Economics'!$G$35)/'CBS (CoE)'!L$2/10</f>
        <v>154.49497193599828</v>
      </c>
      <c r="M52" s="606">
        <f t="shared" ref="M52" si="5">L52/$L$52</f>
        <v>1</v>
      </c>
      <c r="N52" s="615">
        <f>('CBS (Total)'!N50*'Performance &amp; Economics'!$G$35)/'CBS (CoE)'!N$2/10</f>
        <v>106.77667304181534</v>
      </c>
      <c r="O52" s="606">
        <f t="shared" ref="O52" si="6">N52/$N$52</f>
        <v>1</v>
      </c>
      <c r="P52" s="615">
        <f>('CBS (Total)'!P50*'Performance &amp; Economics'!$G$35)/'CBS (CoE)'!P$2/10</f>
        <v>98.696673025640536</v>
      </c>
      <c r="Q52" s="606">
        <f t="shared" ref="Q52" si="7">P52/$P$52</f>
        <v>1</v>
      </c>
    </row>
    <row r="53" spans="1:18" s="59" customFormat="1" ht="15" x14ac:dyDescent="0.25">
      <c r="A53" s="422"/>
      <c r="B53" s="491"/>
      <c r="C53" s="491"/>
      <c r="D53" s="491"/>
      <c r="E53" s="491"/>
      <c r="F53" s="491"/>
      <c r="G53" s="491"/>
      <c r="H53" s="491"/>
      <c r="I53" s="491"/>
      <c r="J53" s="379"/>
      <c r="K53" s="84"/>
      <c r="L53" s="379"/>
      <c r="M53" s="84"/>
      <c r="N53" s="379"/>
      <c r="O53" s="84"/>
      <c r="P53" s="379"/>
      <c r="Q53" s="491"/>
      <c r="R53" s="70"/>
    </row>
    <row r="54" spans="1:18" s="60" customFormat="1" ht="15" outlineLevel="1" x14ac:dyDescent="0.25">
      <c r="A54" s="927">
        <v>2</v>
      </c>
      <c r="B54" s="928" t="str">
        <f>'CBS (Total)'!B52</f>
        <v>Annualized OPEX</v>
      </c>
      <c r="C54" s="928"/>
      <c r="D54" s="928"/>
      <c r="E54" s="928"/>
      <c r="F54" s="928"/>
      <c r="G54" s="928"/>
      <c r="H54" s="928"/>
      <c r="I54" s="928"/>
      <c r="J54" s="929">
        <f>('CBS (Total)'!J52)/'CBS (CoE)'!J$2/10</f>
        <v>172.42799368611398</v>
      </c>
      <c r="K54" s="946">
        <f>J54/$J$52</f>
        <v>0.56258155411193711</v>
      </c>
      <c r="L54" s="929">
        <f>('CBS (Total)'!L52)/'CBS (CoE)'!L$2/10</f>
        <v>43.499775380579209</v>
      </c>
      <c r="M54" s="946">
        <f>L54/$L$52</f>
        <v>0.2815611073647083</v>
      </c>
      <c r="N54" s="929">
        <f>('CBS (Total)'!N52)/'CBS (CoE)'!N$2/10</f>
        <v>13.604553812471632</v>
      </c>
      <c r="O54" s="946">
        <f>N54/$N$52</f>
        <v>0.12741129148258706</v>
      </c>
      <c r="P54" s="929">
        <f>('CBS (Total)'!P52)/'CBS (CoE)'!P$2/10</f>
        <v>7.623550407208322</v>
      </c>
      <c r="Q54" s="931">
        <f>P54/$P$52</f>
        <v>7.7242222797396523E-2</v>
      </c>
      <c r="R54" s="59"/>
    </row>
    <row r="55" spans="1:18" s="60" customFormat="1" ht="15" outlineLevel="1" x14ac:dyDescent="0.25">
      <c r="A55" s="891">
        <v>2.1</v>
      </c>
      <c r="B55" s="492"/>
      <c r="C55" s="492" t="str">
        <f>'CBS (Total)'!C53</f>
        <v>Insurance</v>
      </c>
      <c r="D55" s="492"/>
      <c r="E55" s="492"/>
      <c r="F55" s="492"/>
      <c r="G55" s="492"/>
      <c r="H55" s="492"/>
      <c r="I55" s="492"/>
      <c r="J55" s="487">
        <f>('CBS (Total)'!J53)/'CBS (CoE)'!J$2/10</f>
        <v>40.056934505338731</v>
      </c>
      <c r="K55" s="863">
        <f t="shared" ref="K55:K60" si="8">J55/$J$52</f>
        <v>0.13069393191453899</v>
      </c>
      <c r="L55" s="487">
        <f>('CBS (Total)'!L53)/'CBS (CoE)'!L$2/10</f>
        <v>20.909892292925068</v>
      </c>
      <c r="M55" s="863">
        <f t="shared" ref="M55:M60" si="9">L55/$L$52</f>
        <v>0.13534351332538697</v>
      </c>
      <c r="N55" s="487">
        <f>('CBS (Total)'!N53)/'CBS (CoE)'!N$2/10</f>
        <v>8.2889793495888568</v>
      </c>
      <c r="O55" s="863">
        <f t="shared" ref="O55:O60" si="10">N55/$N$52</f>
        <v>7.762912173094931E-2</v>
      </c>
      <c r="P55" s="487">
        <f>('CBS (Total)'!P53)/'CBS (CoE)'!P$2/10</f>
        <v>3.9811196589165263</v>
      </c>
      <c r="Q55" s="895">
        <f t="shared" ref="Q55:Q60" si="11">P55/$P$52</f>
        <v>4.0336918528978846E-2</v>
      </c>
    </row>
    <row r="56" spans="1:18" s="60" customFormat="1" ht="15" outlineLevel="1" x14ac:dyDescent="0.25">
      <c r="A56" s="891">
        <v>2.2000000000000002</v>
      </c>
      <c r="B56" s="492"/>
      <c r="C56" s="492" t="str">
        <f>'CBS (Total)'!C54</f>
        <v>Environmental Monitoring and Regulatory Compliance</v>
      </c>
      <c r="D56" s="492"/>
      <c r="E56" s="492"/>
      <c r="F56" s="492"/>
      <c r="G56" s="492"/>
      <c r="H56" s="492"/>
      <c r="I56" s="492"/>
      <c r="J56" s="487">
        <f>('CBS (Total)'!J54)/'CBS (CoE)'!J$2/10</f>
        <v>94.576298184135055</v>
      </c>
      <c r="K56" s="863">
        <f t="shared" si="8"/>
        <v>0.30857449348649207</v>
      </c>
      <c r="L56" s="487">
        <f>('CBS (Total)'!L54)/'CBS (CoE)'!L$2/10</f>
        <v>14.003929064457893</v>
      </c>
      <c r="M56" s="863">
        <f t="shared" si="9"/>
        <v>9.0643267473191416E-2</v>
      </c>
      <c r="N56" s="487">
        <f>('CBS (Total)'!N54)/'CBS (CoE)'!N$2/10</f>
        <v>2.8007858128915784</v>
      </c>
      <c r="O56" s="863">
        <f t="shared" si="10"/>
        <v>2.6230315415378683E-2</v>
      </c>
      <c r="P56" s="487">
        <f>('CBS (Total)'!P54)/'CBS (CoE)'!P$2/10</f>
        <v>1.4003929064457892</v>
      </c>
      <c r="Q56" s="895">
        <f t="shared" si="11"/>
        <v>1.4188856255387447E-2</v>
      </c>
      <c r="R56" s="84"/>
    </row>
    <row r="57" spans="1:18" s="60" customFormat="1" ht="15" outlineLevel="1" x14ac:dyDescent="0.25">
      <c r="A57" s="891">
        <v>2.2999999999999998</v>
      </c>
      <c r="B57" s="492"/>
      <c r="C57" s="492" t="str">
        <f>'CBS (Total)'!C55</f>
        <v>Marine Operations</v>
      </c>
      <c r="D57" s="492"/>
      <c r="E57" s="492"/>
      <c r="F57" s="492"/>
      <c r="G57" s="492"/>
      <c r="H57" s="492"/>
      <c r="I57" s="492"/>
      <c r="J57" s="487">
        <f>('CBS (Total)'!J55)/'CBS (CoE)'!J$2/10</f>
        <v>3.4685350371078307</v>
      </c>
      <c r="K57" s="863">
        <f t="shared" si="8"/>
        <v>1.1316804133440278E-2</v>
      </c>
      <c r="L57" s="487">
        <f>('CBS (Total)'!L55)/'CBS (CoE)'!L$2/10</f>
        <v>3.4685350371078307</v>
      </c>
      <c r="M57" s="863">
        <f t="shared" si="9"/>
        <v>2.2450795606116684E-2</v>
      </c>
      <c r="N57" s="487">
        <f>('CBS (Total)'!N55)/'CBS (CoE)'!N$2/10</f>
        <v>1.1989988554977404</v>
      </c>
      <c r="O57" s="863">
        <f t="shared" si="10"/>
        <v>1.1229033658205425E-2</v>
      </c>
      <c r="P57" s="487">
        <f>('CBS (Total)'!P55)/'CBS (CoE)'!P$2/10</f>
        <v>1.1989988554977404</v>
      </c>
      <c r="Q57" s="895">
        <f t="shared" si="11"/>
        <v>1.2148320898175068E-2</v>
      </c>
      <c r="R57" s="136"/>
    </row>
    <row r="58" spans="1:18" s="60" customFormat="1" ht="15" outlineLevel="1" x14ac:dyDescent="0.25">
      <c r="A58" s="891">
        <v>2.4</v>
      </c>
      <c r="B58" s="492"/>
      <c r="C58" s="492" t="str">
        <f>'CBS (Total)'!C56</f>
        <v>Shoreside Operations</v>
      </c>
      <c r="D58" s="492"/>
      <c r="E58" s="492"/>
      <c r="F58" s="492"/>
      <c r="G58" s="492"/>
      <c r="H58" s="492"/>
      <c r="I58" s="492"/>
      <c r="J58" s="487">
        <f>('CBS (Total)'!J56)/'CBS (CoE)'!J$2/10</f>
        <v>28.932714771158537</v>
      </c>
      <c r="K58" s="863">
        <f t="shared" si="8"/>
        <v>9.4398892503883447E-2</v>
      </c>
      <c r="L58" s="487">
        <f>('CBS (Total)'!L56)/'CBS (CoE)'!L$2/10</f>
        <v>4.4239141977275134</v>
      </c>
      <c r="M58" s="863">
        <f t="shared" si="9"/>
        <v>2.8634680742621075E-2</v>
      </c>
      <c r="N58" s="487">
        <f>('CBS (Total)'!N56)/'CBS (CoE)'!N$2/10</f>
        <v>1.0059201444196666</v>
      </c>
      <c r="O58" s="863">
        <f t="shared" si="10"/>
        <v>9.4207856057261976E-3</v>
      </c>
      <c r="P58" s="487">
        <f>('CBS (Total)'!P56)/'CBS (CoE)'!P$2/10</f>
        <v>0.74625013273866403</v>
      </c>
      <c r="Q58" s="895">
        <f t="shared" si="11"/>
        <v>7.5610464857796648E-3</v>
      </c>
    </row>
    <row r="59" spans="1:18" s="60" customFormat="1" ht="15" outlineLevel="1" x14ac:dyDescent="0.25">
      <c r="A59" s="925">
        <v>2.5</v>
      </c>
      <c r="B59" s="492"/>
      <c r="C59" s="492" t="str">
        <f>'CBS (Total)'!C57</f>
        <v>Replacement Parts</v>
      </c>
      <c r="D59" s="492"/>
      <c r="E59" s="492"/>
      <c r="F59" s="492"/>
      <c r="G59" s="492"/>
      <c r="H59" s="492"/>
      <c r="I59" s="492"/>
      <c r="J59" s="487">
        <f>('CBS (Total)'!J57)/'CBS (CoE)'!J$2/10</f>
        <v>5.1722800815103218</v>
      </c>
      <c r="K59" s="863">
        <f t="shared" si="8"/>
        <v>1.6875620392912037E-2</v>
      </c>
      <c r="L59" s="487">
        <f>('CBS (Total)'!L57)/'CBS (CoE)'!L$2/10</f>
        <v>0.47227368149743515</v>
      </c>
      <c r="M59" s="863">
        <f>L59/$L$52</f>
        <v>3.056887066156957E-3</v>
      </c>
      <c r="N59" s="487">
        <f>('CBS (Total)'!N57)/'CBS (CoE)'!N$2/10</f>
        <v>8.8638543210314807E-2</v>
      </c>
      <c r="O59" s="863">
        <f t="shared" si="10"/>
        <v>8.3013022119168877E-4</v>
      </c>
      <c r="P59" s="487">
        <f>('CBS (Total)'!P57)/'CBS (CoE)'!P$2/10</f>
        <v>7.5557746746126961E-2</v>
      </c>
      <c r="Q59" s="895">
        <f t="shared" si="11"/>
        <v>7.6555515429074003E-4</v>
      </c>
    </row>
    <row r="60" spans="1:18" ht="15" x14ac:dyDescent="0.25">
      <c r="A60" s="900">
        <v>2.6</v>
      </c>
      <c r="B60" s="78"/>
      <c r="C60" s="78" t="str">
        <f>'CBS (Total)'!C58</f>
        <v>Consumables</v>
      </c>
      <c r="D60" s="78"/>
      <c r="E60" s="78"/>
      <c r="F60" s="78"/>
      <c r="G60" s="78"/>
      <c r="H60" s="78"/>
      <c r="I60" s="78"/>
      <c r="J60" s="523">
        <f>('CBS (Total)'!J58)/'CBS (CoE)'!J$2/10</f>
        <v>0.2212311068634738</v>
      </c>
      <c r="K60" s="926">
        <f t="shared" si="8"/>
        <v>7.2181168067015679E-4</v>
      </c>
      <c r="L60" s="523">
        <f>('CBS (Total)'!L58)/'CBS (CoE)'!L$2/10</f>
        <v>0.2212311068634738</v>
      </c>
      <c r="M60" s="926">
        <f t="shared" si="9"/>
        <v>1.4319631512352512E-3</v>
      </c>
      <c r="N60" s="523">
        <f>('CBS (Total)'!N58)/'CBS (CoE)'!N$2/10</f>
        <v>0.22123110686347386</v>
      </c>
      <c r="O60" s="926">
        <f t="shared" si="10"/>
        <v>2.0719048511357572E-3</v>
      </c>
      <c r="P60" s="523">
        <f>('CBS (Total)'!P58)/'CBS (CoE)'!P$2/10</f>
        <v>0.22123110686347386</v>
      </c>
      <c r="Q60" s="902">
        <f t="shared" si="11"/>
        <v>2.2415254747847474E-3</v>
      </c>
      <c r="R60" s="60"/>
    </row>
    <row r="61" spans="1:18" s="59" customFormat="1" ht="15" x14ac:dyDescent="0.25">
      <c r="A61" s="395"/>
      <c r="B61" s="768"/>
      <c r="C61" s="768"/>
      <c r="D61" s="768"/>
      <c r="E61" s="768"/>
      <c r="F61" s="768"/>
      <c r="G61" s="768"/>
      <c r="H61" s="768"/>
      <c r="I61" s="61"/>
      <c r="J61" s="143"/>
      <c r="K61" s="77"/>
      <c r="L61" s="143"/>
      <c r="M61" s="77"/>
      <c r="N61" s="143"/>
      <c r="O61" s="77"/>
      <c r="P61" s="143"/>
      <c r="Q61" s="61"/>
      <c r="R61" s="70"/>
    </row>
    <row r="62" spans="1:18" ht="15" x14ac:dyDescent="0.25">
      <c r="A62" s="617" t="s">
        <v>182</v>
      </c>
      <c r="B62" s="138"/>
      <c r="C62" s="138"/>
      <c r="D62" s="138"/>
      <c r="E62" s="138"/>
      <c r="F62" s="138"/>
      <c r="G62" s="138"/>
      <c r="H62" s="138"/>
      <c r="I62" s="138"/>
      <c r="J62" s="144">
        <f>('CBS (Total)'!J60)/'CBS (CoE)'!J$2/10</f>
        <v>172.42799368611398</v>
      </c>
      <c r="K62" s="140">
        <f t="shared" ref="K62:Q62" si="12">SUM(K55:K60)</f>
        <v>0.562581554111937</v>
      </c>
      <c r="L62" s="144">
        <f>('CBS (Total)'!L60)/'CBS (CoE)'!L$2/10</f>
        <v>43.499775380579209</v>
      </c>
      <c r="M62" s="140">
        <f t="shared" si="12"/>
        <v>0.28156110736470835</v>
      </c>
      <c r="N62" s="144">
        <f>('CBS (Total)'!N60)/'CBS (CoE)'!N$2/10</f>
        <v>13.604553812471632</v>
      </c>
      <c r="O62" s="140">
        <f t="shared" si="12"/>
        <v>0.12741129148258706</v>
      </c>
      <c r="P62" s="144">
        <f>('CBS (Total)'!P60)/'CBS (CoE)'!P$2/10</f>
        <v>7.623550407208322</v>
      </c>
      <c r="Q62" s="140">
        <f t="shared" si="12"/>
        <v>7.7242222797396509E-2</v>
      </c>
      <c r="R62" s="59"/>
    </row>
    <row r="63" spans="1:18" ht="15" x14ac:dyDescent="0.25">
      <c r="J63" s="3"/>
      <c r="K63" s="84"/>
      <c r="L63" s="3"/>
      <c r="M63" s="84"/>
      <c r="N63" s="3"/>
      <c r="O63" s="84"/>
      <c r="P63" s="3"/>
    </row>
    <row r="64" spans="1:18" ht="15.75" thickBot="1" x14ac:dyDescent="0.3">
      <c r="A64" s="792" t="s">
        <v>805</v>
      </c>
      <c r="B64" s="793"/>
      <c r="C64" s="793"/>
      <c r="D64" s="793"/>
      <c r="E64" s="793"/>
      <c r="F64" s="793"/>
      <c r="G64" s="793"/>
      <c r="H64" s="793"/>
      <c r="I64" s="793"/>
      <c r="J64" s="794">
        <f>(J62+J52)/100</f>
        <v>4.7892221203690966</v>
      </c>
      <c r="K64" s="794"/>
      <c r="L64" s="794">
        <f>(L62+L52)/100</f>
        <v>1.9799474731657751</v>
      </c>
      <c r="M64" s="794"/>
      <c r="N64" s="794">
        <f>(N62+N52)/100</f>
        <v>1.2038122685428698</v>
      </c>
      <c r="O64" s="794"/>
      <c r="P64" s="794">
        <f>(P62+P52)/100</f>
        <v>1.0632022343284886</v>
      </c>
      <c r="Q64" s="793"/>
    </row>
    <row r="65" ht="15.75" thickTop="1" x14ac:dyDescent="0.25"/>
  </sheetData>
  <mergeCells count="1">
    <mergeCell ref="J3:P3"/>
  </mergeCells>
  <pageMargins left="0.7" right="0.7" top="0.75" bottom="0.75" header="0.3" footer="0.3"/>
  <pageSetup orientation="portrait" horizontalDpi="4294967293" verticalDpi="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zoomScale="70" zoomScaleNormal="70" zoomScalePageLayoutView="70" workbookViewId="0">
      <pane xSplit="8" ySplit="4" topLeftCell="I5" activePane="bottomRight" state="frozen"/>
      <selection activeCell="A3" sqref="A3"/>
      <selection pane="topRight" activeCell="I3" sqref="I3"/>
      <selection pane="bottomLeft" activeCell="A5" sqref="A5"/>
      <selection pane="bottomRight" activeCell="S55" sqref="S55"/>
    </sheetView>
  </sheetViews>
  <sheetFormatPr defaultColWidth="8.88671875" defaultRowHeight="14.4" outlineLevelRow="2" x14ac:dyDescent="0.3"/>
  <cols>
    <col min="1" max="1" width="8.44140625" style="38" customWidth="1"/>
    <col min="2" max="2" width="3.88671875" style="70" customWidth="1"/>
    <col min="3" max="4" width="4.109375" style="70" customWidth="1"/>
    <col min="5" max="7" width="8.88671875" style="70"/>
    <col min="8" max="9" width="20.33203125" style="70" customWidth="1"/>
    <col min="10" max="10" width="19.44140625" style="70" bestFit="1" customWidth="1"/>
    <col min="11" max="11" width="10.109375" style="60" customWidth="1"/>
    <col min="12" max="12" width="20.44140625" style="70" bestFit="1" customWidth="1"/>
    <col min="13" max="13" width="10.109375" style="60" customWidth="1"/>
    <col min="14" max="14" width="22.6640625" style="70" bestFit="1" customWidth="1"/>
    <col min="15" max="15" width="11.44140625" style="60" customWidth="1"/>
    <col min="16" max="16" width="20.88671875" style="70" customWidth="1"/>
    <col min="17" max="17" width="11" style="70" customWidth="1"/>
    <col min="18" max="18" width="17.109375" style="70" bestFit="1" customWidth="1"/>
    <col min="19" max="19" width="16.88671875" style="70" bestFit="1" customWidth="1"/>
    <col min="20" max="22" width="13.33203125" style="70" bestFit="1" customWidth="1"/>
    <col min="23" max="16384" width="8.88671875" style="70"/>
  </cols>
  <sheetData>
    <row r="1" spans="1:19" ht="23.25" customHeight="1" x14ac:dyDescent="0.25">
      <c r="A1" s="38" t="s">
        <v>183</v>
      </c>
      <c r="J1" s="107">
        <f>'CBS (Total)'!J2*'Performance &amp; Economics'!$E$14</f>
        <v>373</v>
      </c>
      <c r="K1" s="469"/>
      <c r="L1" s="469">
        <f>'CBS (Total)'!L2*'Performance &amp; Economics'!$E$14</f>
        <v>3730</v>
      </c>
      <c r="M1" s="469"/>
      <c r="N1" s="469">
        <f>'CBS (Total)'!N2*'Performance &amp; Economics'!$E$14</f>
        <v>18650</v>
      </c>
      <c r="O1" s="469"/>
      <c r="P1" s="469">
        <f>'CBS (Total)'!P2*'Performance &amp; Economics'!$E$14</f>
        <v>37300</v>
      </c>
    </row>
    <row r="2" spans="1:19" ht="29.25" customHeight="1" x14ac:dyDescent="0.25"/>
    <row r="3" spans="1:19" ht="20.25" customHeight="1" x14ac:dyDescent="0.25">
      <c r="A3" s="791" t="s">
        <v>804</v>
      </c>
      <c r="B3" s="491"/>
      <c r="C3" s="491"/>
      <c r="D3" s="491"/>
      <c r="E3" s="491"/>
      <c r="F3" s="491"/>
      <c r="G3" s="491"/>
      <c r="H3" s="491"/>
      <c r="I3" s="59"/>
      <c r="J3" s="998" t="s">
        <v>66</v>
      </c>
      <c r="K3" s="998"/>
      <c r="L3" s="998"/>
      <c r="M3" s="998"/>
      <c r="N3" s="998"/>
      <c r="O3" s="998"/>
      <c r="P3" s="998"/>
      <c r="Q3" s="59"/>
    </row>
    <row r="4" spans="1:19" ht="22.5" customHeight="1" x14ac:dyDescent="0.25">
      <c r="I4" s="59" t="s">
        <v>111</v>
      </c>
      <c r="J4" s="59">
        <v>1</v>
      </c>
      <c r="K4" s="90" t="s">
        <v>146</v>
      </c>
      <c r="L4" s="59">
        <v>10</v>
      </c>
      <c r="M4" s="90" t="s">
        <v>146</v>
      </c>
      <c r="N4" s="59">
        <v>50</v>
      </c>
      <c r="O4" s="90" t="s">
        <v>147</v>
      </c>
      <c r="P4" s="59">
        <v>100</v>
      </c>
      <c r="Q4" s="90" t="s">
        <v>147</v>
      </c>
      <c r="R4" s="59"/>
      <c r="S4" s="71"/>
    </row>
    <row r="5" spans="1:19" ht="15" x14ac:dyDescent="0.25">
      <c r="A5" s="616">
        <v>1</v>
      </c>
      <c r="B5" s="611" t="str">
        <f>'CBS (Total)'!B3</f>
        <v>Capex</v>
      </c>
      <c r="C5" s="611"/>
      <c r="D5" s="611"/>
      <c r="E5" s="611"/>
      <c r="F5" s="611"/>
      <c r="G5" s="611"/>
      <c r="H5" s="611"/>
      <c r="I5" s="611"/>
      <c r="J5" s="628"/>
      <c r="K5" s="628"/>
      <c r="L5" s="628"/>
      <c r="M5" s="628"/>
      <c r="N5" s="628"/>
      <c r="O5" s="628"/>
      <c r="P5" s="628"/>
      <c r="Q5" s="611"/>
    </row>
    <row r="6" spans="1:19" s="59" customFormat="1" ht="15" x14ac:dyDescent="0.25">
      <c r="A6" s="927">
        <v>1.1000000000000001</v>
      </c>
      <c r="B6" s="928"/>
      <c r="C6" s="928" t="str">
        <f>'CBS (Total)'!C4</f>
        <v>Development</v>
      </c>
      <c r="D6" s="928"/>
      <c r="E6" s="928"/>
      <c r="F6" s="928"/>
      <c r="G6" s="928"/>
      <c r="H6" s="928"/>
      <c r="I6" s="928"/>
      <c r="J6" s="929">
        <f>'CBS (Total)'!J4/'CBS ($ per kW)'!J$1</f>
        <v>13954.503794552975</v>
      </c>
      <c r="K6" s="930">
        <f t="shared" ref="K6:K50" si="0">J6/$J$52</f>
        <v>0.20298413297680482</v>
      </c>
      <c r="L6" s="929">
        <f>'CBS (Total)'!L4/'CBS ($ per kW)'!L$1</f>
        <v>6163.5575314755088</v>
      </c>
      <c r="M6" s="930">
        <f t="shared" ref="M6:M50" si="1">L6/$L$52</f>
        <v>0.17786360219010547</v>
      </c>
      <c r="N6" s="929">
        <f>'CBS (Total)'!N4/'CBS ($ per kW)'!N$1</f>
        <v>1682.9525361591161</v>
      </c>
      <c r="O6" s="930">
        <f t="shared" ref="O6:O50" si="2">N6/$N$52</f>
        <v>7.0269273303667362E-2</v>
      </c>
      <c r="P6" s="929">
        <f>'CBS (Total)'!P4/'CBS ($ per kW)'!P$1</f>
        <v>827.27696367236592</v>
      </c>
      <c r="Q6" s="931">
        <f t="shared" ref="Q6:Q50" si="3">P6/$P$52</f>
        <v>3.7369595526050577E-2</v>
      </c>
      <c r="R6" s="108"/>
      <c r="S6" s="108"/>
    </row>
    <row r="7" spans="1:19" s="60" customFormat="1" ht="15" outlineLevel="1" x14ac:dyDescent="0.25">
      <c r="A7" s="891" t="s">
        <v>2</v>
      </c>
      <c r="B7" s="492"/>
      <c r="C7" s="492"/>
      <c r="D7" s="492" t="str">
        <f>'CBS (Total)'!D5</f>
        <v>Permitting and Environmental Compliance</v>
      </c>
      <c r="E7" s="492"/>
      <c r="F7" s="492"/>
      <c r="G7" s="492"/>
      <c r="H7" s="492"/>
      <c r="I7" s="492"/>
      <c r="J7" s="892">
        <f>'CBS (Total)'!J5/'CBS ($ per kW)'!J$1</f>
        <v>10458.445040214478</v>
      </c>
      <c r="K7" s="893">
        <f t="shared" si="0"/>
        <v>0.15212998111779194</v>
      </c>
      <c r="L7" s="892">
        <f>'CBS (Total)'!L5/'CBS ($ per kW)'!L$1</f>
        <v>5167.1581769436998</v>
      </c>
      <c r="M7" s="893">
        <f t="shared" si="1"/>
        <v>0.14911021139073419</v>
      </c>
      <c r="N7" s="892">
        <f>'CBS (Total)'!N5/'CBS ($ per kW)'!N$1</f>
        <v>1240.2680965147454</v>
      </c>
      <c r="O7" s="893">
        <f t="shared" si="2"/>
        <v>5.1785618412457712E-2</v>
      </c>
      <c r="P7" s="892">
        <f>'CBS (Total)'!P5/'CBS ($ per kW)'!P$1</f>
        <v>620.13404825737268</v>
      </c>
      <c r="Q7" s="894">
        <f t="shared" si="3"/>
        <v>2.8012575682559708E-2</v>
      </c>
      <c r="R7" s="86"/>
      <c r="S7" s="86"/>
    </row>
    <row r="8" spans="1:19" s="60" customFormat="1" ht="15" outlineLevel="2" x14ac:dyDescent="0.25">
      <c r="A8" s="891" t="s">
        <v>101</v>
      </c>
      <c r="B8" s="492"/>
      <c r="C8" s="492"/>
      <c r="D8" s="492"/>
      <c r="E8" s="492" t="str">
        <f>'CBS (Total)'!E6</f>
        <v>Siting &amp; Scoping</v>
      </c>
      <c r="F8" s="492"/>
      <c r="G8" s="492"/>
      <c r="H8" s="492"/>
      <c r="I8" s="492"/>
      <c r="J8" s="487">
        <f>'CBS (Total)'!J6/'CBS ($ per kW)'!J$1</f>
        <v>844.50402144772113</v>
      </c>
      <c r="K8" s="893">
        <f t="shared" si="0"/>
        <v>1.228427173855536E-2</v>
      </c>
      <c r="L8" s="487">
        <f>'CBS (Total)'!L6/'CBS ($ per kW)'!L$1</f>
        <v>115.28150134048258</v>
      </c>
      <c r="M8" s="893">
        <f t="shared" si="1"/>
        <v>3.3267123718066617E-3</v>
      </c>
      <c r="N8" s="487">
        <f>'CBS (Total)'!N6/'CBS ($ per kW)'!N$1</f>
        <v>23.056300268096514</v>
      </c>
      <c r="O8" s="893">
        <f t="shared" si="2"/>
        <v>9.6268280305031404E-4</v>
      </c>
      <c r="P8" s="487">
        <f>'CBS (Total)'!P6/'CBS ($ per kW)'!P$1</f>
        <v>11.528150134048257</v>
      </c>
      <c r="Q8" s="895">
        <f t="shared" si="3"/>
        <v>5.2074737553502539E-4</v>
      </c>
    </row>
    <row r="9" spans="1:19" s="60" customFormat="1" ht="15" outlineLevel="2" x14ac:dyDescent="0.25">
      <c r="A9" s="891" t="s">
        <v>102</v>
      </c>
      <c r="B9" s="492"/>
      <c r="C9" s="492"/>
      <c r="D9" s="492"/>
      <c r="E9" s="492" t="str">
        <f>'CBS (Total)'!E7</f>
        <v>Pre-Installation Studies</v>
      </c>
      <c r="F9" s="492"/>
      <c r="G9" s="492"/>
      <c r="H9" s="492"/>
      <c r="I9" s="492"/>
      <c r="J9" s="487">
        <f>'CBS (Total)'!J7/'CBS ($ per kW)'!J$1</f>
        <v>4372.6541554959786</v>
      </c>
      <c r="K9" s="893">
        <f t="shared" si="0"/>
        <v>6.3605229224075535E-2</v>
      </c>
      <c r="L9" s="487">
        <f>'CBS (Total)'!L7/'CBS ($ per kW)'!L$1</f>
        <v>687.93565683646113</v>
      </c>
      <c r="M9" s="893">
        <f t="shared" si="1"/>
        <v>1.9851962665246265E-2</v>
      </c>
      <c r="N9" s="487">
        <f>'CBS (Total)'!N7/'CBS ($ per kW)'!N$1</f>
        <v>179.54423592493296</v>
      </c>
      <c r="O9" s="893">
        <f t="shared" si="2"/>
        <v>7.4966124791022706E-3</v>
      </c>
      <c r="P9" s="487">
        <f>'CBS (Total)'!P7/'CBS ($ per kW)'!P$1</f>
        <v>89.772117962466481</v>
      </c>
      <c r="Q9" s="895">
        <f t="shared" si="3"/>
        <v>4.0551688069279824E-3</v>
      </c>
      <c r="R9" s="86"/>
    </row>
    <row r="10" spans="1:19" s="60" customFormat="1" ht="15" outlineLevel="2" x14ac:dyDescent="0.25">
      <c r="A10" s="891" t="s">
        <v>103</v>
      </c>
      <c r="B10" s="492"/>
      <c r="C10" s="492"/>
      <c r="D10" s="492"/>
      <c r="E10" s="492" t="str">
        <f>'CBS (Total)'!E8</f>
        <v>Post-Installation Studies</v>
      </c>
      <c r="F10" s="492"/>
      <c r="G10" s="492"/>
      <c r="H10" s="492"/>
      <c r="I10" s="492"/>
      <c r="J10" s="487">
        <f>'CBS (Total)'!J8/'CBS ($ per kW)'!J$1</f>
        <v>2292.225201072386</v>
      </c>
      <c r="K10" s="893">
        <f t="shared" si="0"/>
        <v>3.3343023290364551E-2</v>
      </c>
      <c r="L10" s="487">
        <f>'CBS (Total)'!L8/'CBS ($ per kW)'!L$1</f>
        <v>3908.176943699732</v>
      </c>
      <c r="M10" s="893">
        <f t="shared" si="1"/>
        <v>0.11277941767444562</v>
      </c>
      <c r="N10" s="487">
        <f>'CBS (Total)'!N8/'CBS ($ per kW)'!N$1</f>
        <v>934.45040214477217</v>
      </c>
      <c r="O10" s="893">
        <f t="shared" si="2"/>
        <v>3.9016638488742671E-2</v>
      </c>
      <c r="P10" s="487">
        <f>'CBS (Total)'!P8/'CBS ($ per kW)'!P$1</f>
        <v>467.22520107238608</v>
      </c>
      <c r="Q10" s="895">
        <f t="shared" si="3"/>
        <v>2.1105406714271295E-2</v>
      </c>
      <c r="S10" s="96"/>
    </row>
    <row r="11" spans="1:19" s="60" customFormat="1" ht="15" outlineLevel="2" x14ac:dyDescent="0.25">
      <c r="A11" s="891" t="s">
        <v>104</v>
      </c>
      <c r="B11" s="492"/>
      <c r="C11" s="492"/>
      <c r="D11" s="492"/>
      <c r="E11" s="492" t="str">
        <f>'CBS (Total)'!E9</f>
        <v>NEPA &amp; Process</v>
      </c>
      <c r="F11" s="492"/>
      <c r="G11" s="492"/>
      <c r="H11" s="492"/>
      <c r="I11" s="492"/>
      <c r="J11" s="487">
        <f>'CBS (Total)'!J9/'CBS ($ per kW)'!J$1</f>
        <v>2949.0616621983913</v>
      </c>
      <c r="K11" s="893">
        <f t="shared" si="0"/>
        <v>4.2897456864796499E-2</v>
      </c>
      <c r="L11" s="487">
        <f>'CBS (Total)'!L9/'CBS ($ per kW)'!L$1</f>
        <v>455.76407506702412</v>
      </c>
      <c r="M11" s="893">
        <f t="shared" si="1"/>
        <v>1.3152118679235639E-2</v>
      </c>
      <c r="N11" s="487">
        <f>'CBS (Total)'!N9/'CBS ($ per kW)'!N$1</f>
        <v>103.2171581769437</v>
      </c>
      <c r="O11" s="893">
        <f t="shared" si="2"/>
        <v>4.3096846415624527E-3</v>
      </c>
      <c r="P11" s="487">
        <f>'CBS (Total)'!P9/'CBS ($ per kW)'!P$1</f>
        <v>51.608579088471849</v>
      </c>
      <c r="Q11" s="895">
        <f t="shared" si="3"/>
        <v>2.3312527858254046E-3</v>
      </c>
    </row>
    <row r="12" spans="1:19" s="60" customFormat="1" ht="15" outlineLevel="1" x14ac:dyDescent="0.25">
      <c r="A12" s="891" t="s">
        <v>4</v>
      </c>
      <c r="B12" s="492"/>
      <c r="C12" s="492"/>
      <c r="D12" s="492" t="str">
        <f>'CBS (Total)'!D10</f>
        <v>Site Assessment</v>
      </c>
      <c r="E12" s="492"/>
      <c r="F12" s="492"/>
      <c r="G12" s="492"/>
      <c r="H12" s="492"/>
      <c r="I12" s="492"/>
      <c r="J12" s="487">
        <f>'CBS (Total)'!J10/'CBS ($ per kW)'!J$1</f>
        <v>520.00804289544237</v>
      </c>
      <c r="K12" s="893">
        <f t="shared" si="0"/>
        <v>7.5641085689695667E-3</v>
      </c>
      <c r="L12" s="487">
        <f>'CBS (Total)'!L10/'CBS ($ per kW)'!L$1</f>
        <v>78.836729222520106</v>
      </c>
      <c r="M12" s="893">
        <f t="shared" si="1"/>
        <v>2.2750148064321833E-3</v>
      </c>
      <c r="N12" s="487">
        <f>'CBS (Total)'!N10/'CBS ($ per kW)'!N$1</f>
        <v>15.767345844504021</v>
      </c>
      <c r="O12" s="893">
        <f t="shared" si="2"/>
        <v>6.583429482506474E-4</v>
      </c>
      <c r="P12" s="487">
        <f>'CBS (Total)'!P10/'CBS ($ per kW)'!P$1</f>
        <v>7.8836729222520106</v>
      </c>
      <c r="Q12" s="895">
        <f t="shared" si="3"/>
        <v>3.5611975348187234E-4</v>
      </c>
    </row>
    <row r="13" spans="1:19" s="60" customFormat="1" ht="15" outlineLevel="1" x14ac:dyDescent="0.25">
      <c r="A13" s="900" t="s">
        <v>6</v>
      </c>
      <c r="B13" s="78"/>
      <c r="C13" s="78"/>
      <c r="D13" s="78" t="str">
        <f>'CBS (Total)'!D11</f>
        <v>Project Design, Engineering, and Management</v>
      </c>
      <c r="E13" s="78"/>
      <c r="F13" s="78"/>
      <c r="G13" s="78"/>
      <c r="H13" s="78"/>
      <c r="I13" s="78"/>
      <c r="J13" s="523">
        <f>'CBS (Total)'!J11/'CBS ($ per kW)'!J$1</f>
        <v>2976.0507114430552</v>
      </c>
      <c r="K13" s="901">
        <f t="shared" si="0"/>
        <v>4.3290043290043295E-2</v>
      </c>
      <c r="L13" s="523">
        <f>'CBS (Total)'!L11/'CBS ($ per kW)'!L$1</f>
        <v>917.56262530928836</v>
      </c>
      <c r="M13" s="901">
        <f t="shared" si="1"/>
        <v>2.6478375992939097E-2</v>
      </c>
      <c r="N13" s="523">
        <f>'CBS (Total)'!N11/'CBS ($ per kW)'!N$1</f>
        <v>426.91709379986685</v>
      </c>
      <c r="O13" s="901">
        <f t="shared" si="2"/>
        <v>1.7825311942959002E-2</v>
      </c>
      <c r="P13" s="523">
        <f>'CBS (Total)'!P11/'CBS ($ per kW)'!P$1</f>
        <v>199.25924249274127</v>
      </c>
      <c r="Q13" s="902">
        <f t="shared" si="3"/>
        <v>9.0009000900090012E-3</v>
      </c>
    </row>
    <row r="14" spans="1:19" s="59" customFormat="1" ht="15" x14ac:dyDescent="0.25">
      <c r="A14" s="927">
        <v>1.2</v>
      </c>
      <c r="B14" s="928"/>
      <c r="C14" s="928" t="str">
        <f>'CBS (Total)'!C12</f>
        <v>Infrastructure</v>
      </c>
      <c r="D14" s="928"/>
      <c r="E14" s="928"/>
      <c r="F14" s="928"/>
      <c r="G14" s="928"/>
      <c r="H14" s="928"/>
      <c r="I14" s="928"/>
      <c r="J14" s="929">
        <f>'CBS (Total)'!J12/'CBS ($ per kW)'!J$1</f>
        <v>2978.5522788203752</v>
      </c>
      <c r="K14" s="930">
        <f t="shared" si="0"/>
        <v>4.3326431433444459E-2</v>
      </c>
      <c r="L14" s="929">
        <f>'CBS (Total)'!L12/'CBS ($ per kW)'!L$1</f>
        <v>2104.5576407506701</v>
      </c>
      <c r="M14" s="930">
        <f t="shared" si="1"/>
        <v>6.0731842136470447E-2</v>
      </c>
      <c r="N14" s="929">
        <f>'CBS (Total)'!N12/'CBS ($ per kW)'!N$1</f>
        <v>867.98927613941021</v>
      </c>
      <c r="O14" s="930">
        <f t="shared" si="2"/>
        <v>3.624164933901973E-2</v>
      </c>
      <c r="P14" s="929">
        <f>'CBS (Total)'!P12/'CBS ($ per kW)'!P$1</f>
        <v>954.69168900804289</v>
      </c>
      <c r="Q14" s="931">
        <f t="shared" si="3"/>
        <v>4.312514893674943E-2</v>
      </c>
    </row>
    <row r="15" spans="1:19" s="60" customFormat="1" ht="15" outlineLevel="1" x14ac:dyDescent="0.25">
      <c r="A15" s="903" t="s">
        <v>9</v>
      </c>
      <c r="B15" s="904"/>
      <c r="C15" s="904"/>
      <c r="D15" s="904" t="str">
        <f>'CBS (Total)'!D13</f>
        <v>Subsea Cables</v>
      </c>
      <c r="E15" s="904"/>
      <c r="F15" s="904"/>
      <c r="G15" s="904"/>
      <c r="H15" s="904"/>
      <c r="I15" s="904"/>
      <c r="J15" s="905">
        <f>'CBS (Total)'!J13/'CBS ($ per kW)'!J$1</f>
        <v>2707.774798927614</v>
      </c>
      <c r="K15" s="906">
        <f t="shared" si="0"/>
        <v>3.9387664939494971E-2</v>
      </c>
      <c r="L15" s="905">
        <f>'CBS (Total)'!L13/'CBS ($ per kW)'!L$1</f>
        <v>536.1930294906166</v>
      </c>
      <c r="M15" s="906">
        <f t="shared" si="1"/>
        <v>1.5473080799100751E-2</v>
      </c>
      <c r="N15" s="905">
        <f>'CBS (Total)'!N13/'CBS ($ per kW)'!N$1</f>
        <v>513.67292225201072</v>
      </c>
      <c r="O15" s="906">
        <f t="shared" si="2"/>
        <v>2.1447677333074438E-2</v>
      </c>
      <c r="P15" s="905">
        <f>'CBS (Total)'!P13/'CBS ($ per kW)'!P$1</f>
        <v>592.49329758713134</v>
      </c>
      <c r="Q15" s="907">
        <f t="shared" si="3"/>
        <v>2.6763993021683863E-2</v>
      </c>
    </row>
    <row r="16" spans="1:19" s="60" customFormat="1" ht="15" outlineLevel="1" x14ac:dyDescent="0.25">
      <c r="A16" s="891" t="s">
        <v>11</v>
      </c>
      <c r="B16" s="492"/>
      <c r="C16" s="492"/>
      <c r="D16" s="492" t="str">
        <f>'CBS (Total)'!D14</f>
        <v>Terminations and Connectors</v>
      </c>
      <c r="E16" s="492"/>
      <c r="F16" s="492"/>
      <c r="G16" s="492"/>
      <c r="H16" s="492"/>
      <c r="I16" s="492"/>
      <c r="J16" s="487">
        <f>'CBS (Total)'!J14/'CBS ($ per kW)'!J$1</f>
        <v>270.77747989276139</v>
      </c>
      <c r="K16" s="893">
        <f t="shared" si="0"/>
        <v>3.9387664939494966E-3</v>
      </c>
      <c r="L16" s="487">
        <f>'CBS (Total)'!L14/'CBS ($ per kW)'!L$1</f>
        <v>53.619302949061662</v>
      </c>
      <c r="M16" s="893">
        <f t="shared" si="1"/>
        <v>1.5473080799100754E-3</v>
      </c>
      <c r="N16" s="487">
        <f>'CBS (Total)'!N14/'CBS ($ per kW)'!N$1</f>
        <v>51.367292225201069</v>
      </c>
      <c r="O16" s="893">
        <f t="shared" si="2"/>
        <v>2.144767733307444E-3</v>
      </c>
      <c r="P16" s="487">
        <f>'CBS (Total)'!P14/'CBS ($ per kW)'!P$1</f>
        <v>59.249329758713138</v>
      </c>
      <c r="Q16" s="896">
        <f t="shared" si="3"/>
        <v>2.6763993021683865E-3</v>
      </c>
    </row>
    <row r="17" spans="1:27" s="60" customFormat="1" ht="15" outlineLevel="1" x14ac:dyDescent="0.25">
      <c r="A17" s="891" t="s">
        <v>13</v>
      </c>
      <c r="B17" s="492"/>
      <c r="C17" s="492"/>
      <c r="D17" s="492" t="str">
        <f>'CBS (Total)'!D15</f>
        <v>Dockside Improvements</v>
      </c>
      <c r="E17" s="492"/>
      <c r="F17" s="492"/>
      <c r="G17" s="492"/>
      <c r="H17" s="492"/>
      <c r="I17" s="492"/>
      <c r="J17" s="487">
        <f>'CBS (Total)'!J15/'CBS ($ per kW)'!J$1</f>
        <v>0</v>
      </c>
      <c r="K17" s="893">
        <f t="shared" si="0"/>
        <v>0</v>
      </c>
      <c r="L17" s="487">
        <f>'CBS (Total)'!L15/'CBS ($ per kW)'!L$1</f>
        <v>0</v>
      </c>
      <c r="M17" s="893">
        <f t="shared" si="1"/>
        <v>0</v>
      </c>
      <c r="N17" s="487">
        <f>'CBS (Total)'!N15/'CBS ($ per kW)'!N$1</f>
        <v>0</v>
      </c>
      <c r="O17" s="893">
        <f t="shared" si="2"/>
        <v>0</v>
      </c>
      <c r="P17" s="487">
        <f>'CBS (Total)'!P15/'CBS ($ per kW)'!P$1</f>
        <v>0</v>
      </c>
      <c r="Q17" s="895">
        <f t="shared" si="3"/>
        <v>0</v>
      </c>
    </row>
    <row r="18" spans="1:27" s="60" customFormat="1" ht="15" outlineLevel="1" x14ac:dyDescent="0.25">
      <c r="A18" s="891" t="s">
        <v>15</v>
      </c>
      <c r="B18" s="492"/>
      <c r="C18" s="492"/>
      <c r="D18" s="492" t="str">
        <f>'CBS (Total)'!D16</f>
        <v>Dedicated O&amp;M Vessel</v>
      </c>
      <c r="E18" s="492"/>
      <c r="F18" s="492"/>
      <c r="G18" s="492"/>
      <c r="H18" s="492"/>
      <c r="I18" s="492"/>
      <c r="J18" s="487">
        <f>'CBS (Total)'!J16/'CBS ($ per kW)'!J$1</f>
        <v>0</v>
      </c>
      <c r="K18" s="893">
        <f t="shared" si="0"/>
        <v>0</v>
      </c>
      <c r="L18" s="487">
        <f>'CBS (Total)'!L16/'CBS ($ per kW)'!L$1</f>
        <v>1514.745308310992</v>
      </c>
      <c r="M18" s="893">
        <f t="shared" si="1"/>
        <v>4.3711453257459627E-2</v>
      </c>
      <c r="N18" s="487">
        <f>'CBS (Total)'!N16/'CBS ($ per kW)'!N$1</f>
        <v>302.9490616621984</v>
      </c>
      <c r="O18" s="893">
        <f t="shared" si="2"/>
        <v>1.2649204272637849E-2</v>
      </c>
      <c r="P18" s="487">
        <f>'CBS (Total)'!P16/'CBS ($ per kW)'!P$1</f>
        <v>302.9490616621984</v>
      </c>
      <c r="Q18" s="895">
        <f t="shared" si="3"/>
        <v>1.368475661289718E-2</v>
      </c>
    </row>
    <row r="19" spans="1:27" s="60" customFormat="1" ht="15" outlineLevel="1" x14ac:dyDescent="0.25">
      <c r="A19" s="900" t="s">
        <v>16</v>
      </c>
      <c r="B19" s="78"/>
      <c r="C19" s="78"/>
      <c r="D19" s="78" t="str">
        <f>'CBS (Total)'!D17</f>
        <v>Other</v>
      </c>
      <c r="E19" s="78"/>
      <c r="F19" s="78"/>
      <c r="G19" s="78"/>
      <c r="H19" s="78"/>
      <c r="I19" s="78"/>
      <c r="J19" s="523">
        <f>'CBS (Total)'!J17/'CBS ($ per kW)'!J$1</f>
        <v>0</v>
      </c>
      <c r="K19" s="901">
        <f t="shared" si="0"/>
        <v>0</v>
      </c>
      <c r="L19" s="523">
        <f>'CBS (Total)'!L17/'CBS ($ per kW)'!L$1</f>
        <v>0</v>
      </c>
      <c r="M19" s="901">
        <f t="shared" si="1"/>
        <v>0</v>
      </c>
      <c r="N19" s="523">
        <f>'CBS (Total)'!N17/'CBS ($ per kW)'!N$1</f>
        <v>0</v>
      </c>
      <c r="O19" s="901">
        <f t="shared" si="2"/>
        <v>0</v>
      </c>
      <c r="P19" s="523">
        <f>'CBS (Total)'!P17/'CBS ($ per kW)'!P$1</f>
        <v>0</v>
      </c>
      <c r="Q19" s="902">
        <f t="shared" si="3"/>
        <v>0</v>
      </c>
    </row>
    <row r="20" spans="1:27" s="59" customFormat="1" ht="15" x14ac:dyDescent="0.25">
      <c r="A20" s="927">
        <v>1.3</v>
      </c>
      <c r="B20" s="928"/>
      <c r="C20" s="928" t="str">
        <f>'CBS (Total)'!C18</f>
        <v>Mooring/Foundation</v>
      </c>
      <c r="D20" s="928"/>
      <c r="E20" s="928"/>
      <c r="F20" s="928"/>
      <c r="G20" s="928"/>
      <c r="H20" s="928"/>
      <c r="I20" s="928"/>
      <c r="J20" s="929">
        <f>'CBS (Total)'!J18/'CBS ($ per kW)'!J$1</f>
        <v>2239.0141398319124</v>
      </c>
      <c r="K20" s="930">
        <f t="shared" si="0"/>
        <v>3.256900786927238E-2</v>
      </c>
      <c r="L20" s="929">
        <f>'CBS (Total)'!L18/'CBS ($ per kW)'!L$1</f>
        <v>1995.0660770551553</v>
      </c>
      <c r="M20" s="930">
        <f t="shared" si="1"/>
        <v>5.7572211707313158E-2</v>
      </c>
      <c r="N20" s="929">
        <f>'CBS (Total)'!N18/'CBS ($ per kW)'!N$1</f>
        <v>1939.8918143205713</v>
      </c>
      <c r="O20" s="930">
        <f t="shared" si="2"/>
        <v>8.0997404948294605E-2</v>
      </c>
      <c r="P20" s="929">
        <f>'CBS (Total)'!P18/'CBS ($ per kW)'!P$1</f>
        <v>1884.7175515859867</v>
      </c>
      <c r="Q20" s="931">
        <f t="shared" si="3"/>
        <v>8.5136097916912595E-2</v>
      </c>
    </row>
    <row r="21" spans="1:27" s="60" customFormat="1" ht="15" outlineLevel="1" x14ac:dyDescent="0.25">
      <c r="A21" s="903" t="s">
        <v>19</v>
      </c>
      <c r="B21" s="904"/>
      <c r="C21" s="904"/>
      <c r="D21" s="904" t="str">
        <f>'CBS (Total)'!D19</f>
        <v>Mooring lines/chain</v>
      </c>
      <c r="E21" s="904"/>
      <c r="F21" s="904"/>
      <c r="G21" s="904"/>
      <c r="H21" s="904"/>
      <c r="I21" s="904"/>
      <c r="J21" s="905">
        <f>'CBS (Total)'!J19/'CBS ($ per kW)'!J$1</f>
        <v>1471.0087779016176</v>
      </c>
      <c r="K21" s="906">
        <f t="shared" si="0"/>
        <v>2.1397496161789844E-2</v>
      </c>
      <c r="L21" s="905">
        <f>'CBS (Total)'!L19/'CBS ($ per kW)'!L$1</f>
        <v>1323.9079001114555</v>
      </c>
      <c r="M21" s="906">
        <f t="shared" si="1"/>
        <v>3.8204401740270753E-2</v>
      </c>
      <c r="N21" s="905">
        <f>'CBS (Total)'!N19/'CBS ($ per kW)'!N$1</f>
        <v>1323.907900111456</v>
      </c>
      <c r="O21" s="906">
        <f t="shared" si="2"/>
        <v>5.5277878646614813E-2</v>
      </c>
      <c r="P21" s="905">
        <f>'CBS (Total)'!P19/'CBS ($ per kW)'!P$1</f>
        <v>1323.907900111456</v>
      </c>
      <c r="Q21" s="908">
        <f t="shared" si="3"/>
        <v>5.9803312449664303E-2</v>
      </c>
    </row>
    <row r="22" spans="1:27" s="60" customFormat="1" ht="15" outlineLevel="1" x14ac:dyDescent="0.25">
      <c r="A22" s="891" t="s">
        <v>21</v>
      </c>
      <c r="B22" s="492"/>
      <c r="C22" s="492"/>
      <c r="D22" s="492" t="str">
        <f>'CBS (Total)'!D20</f>
        <v>Anchors</v>
      </c>
      <c r="E22" s="492"/>
      <c r="F22" s="492"/>
      <c r="G22" s="492"/>
      <c r="H22" s="492"/>
      <c r="I22" s="492"/>
      <c r="J22" s="487">
        <f>'CBS (Total)'!J20/'CBS ($ per kW)'!J$1</f>
        <v>332.88471849865954</v>
      </c>
      <c r="K22" s="893">
        <f t="shared" si="0"/>
        <v>4.8421869355221112E-3</v>
      </c>
      <c r="L22" s="487">
        <f>'CBS (Total)'!L20/'CBS ($ per kW)'!L$1</f>
        <v>279.54959785522789</v>
      </c>
      <c r="M22" s="893">
        <f t="shared" si="1"/>
        <v>8.0670454054191688E-3</v>
      </c>
      <c r="N22" s="487">
        <f>'CBS (Total)'!N20/'CBS ($ per kW)'!N$1</f>
        <v>224.37533512064346</v>
      </c>
      <c r="O22" s="893">
        <f t="shared" si="2"/>
        <v>9.3684708317310333E-3</v>
      </c>
      <c r="P22" s="487">
        <f>'CBS (Total)'!P20/'CBS ($ per kW)'!P$1</f>
        <v>169.20107238605897</v>
      </c>
      <c r="Q22" s="895">
        <f t="shared" si="3"/>
        <v>7.6431182243643075E-3</v>
      </c>
    </row>
    <row r="23" spans="1:27" s="60" customFormat="1" ht="15" outlineLevel="1" x14ac:dyDescent="0.25">
      <c r="A23" s="891" t="s">
        <v>23</v>
      </c>
      <c r="B23" s="492"/>
      <c r="C23" s="492"/>
      <c r="D23" s="492" t="str">
        <f>'CBS (Total)'!D21</f>
        <v>Buoyancy</v>
      </c>
      <c r="E23" s="492"/>
      <c r="F23" s="492"/>
      <c r="G23" s="492"/>
      <c r="H23" s="492"/>
      <c r="I23" s="492"/>
      <c r="J23" s="487">
        <f>'CBS (Total)'!J21/'CBS ($ per kW)'!J$1</f>
        <v>160.85790884718497</v>
      </c>
      <c r="K23" s="893">
        <f t="shared" si="0"/>
        <v>2.3398612835343544E-3</v>
      </c>
      <c r="L23" s="487">
        <f>'CBS (Total)'!L21/'CBS ($ per kW)'!L$1</f>
        <v>144.7721179624665</v>
      </c>
      <c r="M23" s="893">
        <f t="shared" si="1"/>
        <v>4.1777318157572036E-3</v>
      </c>
      <c r="N23" s="487">
        <f>'CBS (Total)'!N21/'CBS ($ per kW)'!N$1</f>
        <v>144.7721179624665</v>
      </c>
      <c r="O23" s="893">
        <f t="shared" si="2"/>
        <v>6.0447524842694141E-3</v>
      </c>
      <c r="P23" s="487">
        <f>'CBS (Total)'!P21/'CBS ($ per kW)'!P$1</f>
        <v>144.7721179624665</v>
      </c>
      <c r="Q23" s="895">
        <f t="shared" si="3"/>
        <v>6.539618204393343E-3</v>
      </c>
    </row>
    <row r="24" spans="1:27" s="60" customFormat="1" ht="15" outlineLevel="1" x14ac:dyDescent="0.25">
      <c r="A24" s="891" t="s">
        <v>24</v>
      </c>
      <c r="B24" s="492"/>
      <c r="C24" s="492"/>
      <c r="D24" s="492" t="str">
        <f>'CBS (Total)'!D22</f>
        <v>Connecting Hardware (shackles etc.)</v>
      </c>
      <c r="E24" s="492"/>
      <c r="F24" s="492"/>
      <c r="G24" s="492"/>
      <c r="H24" s="492"/>
      <c r="I24" s="492"/>
      <c r="J24" s="487">
        <f>'CBS (Total)'!J22/'CBS ($ per kW)'!J$1</f>
        <v>274.26273458445041</v>
      </c>
      <c r="K24" s="893">
        <f t="shared" si="0"/>
        <v>3.9894634884260743E-3</v>
      </c>
      <c r="L24" s="487">
        <f>'CBS (Total)'!L22/'CBS ($ per kW)'!L$1</f>
        <v>246.83646112600536</v>
      </c>
      <c r="M24" s="893">
        <f t="shared" si="1"/>
        <v>7.1230327458660318E-3</v>
      </c>
      <c r="N24" s="487">
        <f>'CBS (Total)'!N22/'CBS ($ per kW)'!N$1</f>
        <v>246.83646112600536</v>
      </c>
      <c r="O24" s="893">
        <f t="shared" si="2"/>
        <v>1.030630298567935E-2</v>
      </c>
      <c r="P24" s="487">
        <f>'CBS (Total)'!P22/'CBS ($ per kW)'!P$1</f>
        <v>246.83646112600536</v>
      </c>
      <c r="Q24" s="895">
        <f t="shared" si="3"/>
        <v>1.1150049038490649E-2</v>
      </c>
      <c r="R24" s="96"/>
    </row>
    <row r="25" spans="1:27" s="60" customFormat="1" ht="15" outlineLevel="1" x14ac:dyDescent="0.25">
      <c r="A25" s="909" t="s">
        <v>26</v>
      </c>
      <c r="B25" s="910"/>
      <c r="C25" s="910"/>
      <c r="D25" s="910" t="str">
        <f>'CBS (Total)'!D23</f>
        <v>Other</v>
      </c>
      <c r="E25" s="910"/>
      <c r="F25" s="910"/>
      <c r="G25" s="910"/>
      <c r="H25" s="910"/>
      <c r="I25" s="910"/>
      <c r="J25" s="911">
        <f>'CBS (Total)'!J23/'CBS ($ per kW)'!J$1</f>
        <v>0</v>
      </c>
      <c r="K25" s="912">
        <f t="shared" si="0"/>
        <v>0</v>
      </c>
      <c r="L25" s="911">
        <f>'CBS (Total)'!L23/'CBS ($ per kW)'!L$1</f>
        <v>0</v>
      </c>
      <c r="M25" s="912">
        <f t="shared" si="1"/>
        <v>0</v>
      </c>
      <c r="N25" s="911">
        <f>'CBS (Total)'!N23/'CBS ($ per kW)'!N$1</f>
        <v>0</v>
      </c>
      <c r="O25" s="912">
        <f t="shared" si="2"/>
        <v>0</v>
      </c>
      <c r="P25" s="911">
        <f>'CBS (Total)'!P23/'CBS ($ per kW)'!P$1</f>
        <v>0</v>
      </c>
      <c r="Q25" s="913">
        <f t="shared" si="3"/>
        <v>0</v>
      </c>
      <c r="R25" s="86"/>
      <c r="S25" s="86"/>
      <c r="T25" s="86"/>
      <c r="U25" s="86"/>
    </row>
    <row r="26" spans="1:27" s="59" customFormat="1" ht="15" x14ac:dyDescent="0.25">
      <c r="A26" s="927">
        <v>1.4</v>
      </c>
      <c r="B26" s="928"/>
      <c r="C26" s="928" t="str">
        <f>'CBS (Total)'!C24</f>
        <v>Device Structural Components</v>
      </c>
      <c r="D26" s="928"/>
      <c r="E26" s="928"/>
      <c r="F26" s="928"/>
      <c r="G26" s="928"/>
      <c r="H26" s="928"/>
      <c r="I26" s="932">
        <f>'CBS (Total)'!I24</f>
        <v>1796.7776257800001</v>
      </c>
      <c r="J26" s="933">
        <f>'CBS (Total)'!J24/'CBS ($ per kW)'!J$1</f>
        <v>20596.466741414333</v>
      </c>
      <c r="K26" s="930">
        <f t="shared" si="0"/>
        <v>0.2995990402412953</v>
      </c>
      <c r="L26" s="933">
        <f>'CBS (Total)'!L24/'CBS ($ per kW)'!L$1</f>
        <v>14481.642295931406</v>
      </c>
      <c r="M26" s="930">
        <f t="shared" si="1"/>
        <v>0.41790103381517923</v>
      </c>
      <c r="N26" s="933">
        <f>'CBS (Total)'!N24/'CBS ($ per kW)'!N$1</f>
        <v>12828.414196286107</v>
      </c>
      <c r="O26" s="930">
        <f t="shared" si="2"/>
        <v>0.53563206557730692</v>
      </c>
      <c r="P26" s="933">
        <f>'CBS (Total)'!P24/'CBS ($ per kW)'!P$1</f>
        <v>12462.796443479936</v>
      </c>
      <c r="Q26" s="931">
        <f t="shared" si="3"/>
        <v>0.56296703844976648</v>
      </c>
      <c r="R26" s="88"/>
      <c r="S26" s="88"/>
      <c r="T26" s="88"/>
      <c r="U26" s="88"/>
      <c r="V26" s="89"/>
      <c r="W26" s="88"/>
      <c r="X26" s="88"/>
      <c r="Y26" s="88"/>
    </row>
    <row r="27" spans="1:27" s="60" customFormat="1" ht="15" outlineLevel="1" x14ac:dyDescent="0.25">
      <c r="A27" s="914" t="s">
        <v>28</v>
      </c>
      <c r="B27" s="915"/>
      <c r="C27" s="915"/>
      <c r="D27" s="915" t="str">
        <f>'CBS (Total)'!D25</f>
        <v>Backward Bent Duct Main Structure</v>
      </c>
      <c r="E27" s="915"/>
      <c r="F27" s="915"/>
      <c r="G27" s="915"/>
      <c r="H27" s="915"/>
      <c r="I27" s="916">
        <f>'CBS (Total)'!I25</f>
        <v>664.101</v>
      </c>
      <c r="J27" s="917">
        <f>'CBS (Total)'!J25/'CBS ($ per kW)'!J$1</f>
        <v>7612.5915434316357</v>
      </c>
      <c r="K27" s="906">
        <f t="shared" si="0"/>
        <v>0.11073380443331828</v>
      </c>
      <c r="L27" s="917">
        <f>'CBS (Total)'!L25/'CBS ($ per kW)'!L$1</f>
        <v>5352.5116254691693</v>
      </c>
      <c r="M27" s="906">
        <f t="shared" si="1"/>
        <v>0.1544590106620547</v>
      </c>
      <c r="N27" s="917">
        <f>'CBS (Total)'!N25/'CBS ($ per kW)'!N$1</f>
        <v>4741.4674882037534</v>
      </c>
      <c r="O27" s="906">
        <f t="shared" si="2"/>
        <v>0.19797318559526031</v>
      </c>
      <c r="P27" s="917">
        <f>'CBS (Total)'!P25/$P$1</f>
        <v>4606.3327270777481</v>
      </c>
      <c r="Q27" s="918">
        <f t="shared" si="3"/>
        <v>0.20807637396933235</v>
      </c>
      <c r="R27" s="136"/>
      <c r="S27" s="136"/>
      <c r="T27" s="136"/>
      <c r="U27" s="136"/>
      <c r="V27" s="86"/>
      <c r="W27" s="86"/>
      <c r="X27" s="86"/>
      <c r="Y27" s="86"/>
      <c r="AA27" s="96"/>
    </row>
    <row r="28" spans="1:27" s="60" customFormat="1" ht="15" outlineLevel="1" x14ac:dyDescent="0.25">
      <c r="A28" s="897" t="s">
        <v>29</v>
      </c>
      <c r="B28" s="414"/>
      <c r="C28" s="414"/>
      <c r="D28" s="414" t="str">
        <f>'CBS (Total)'!D26</f>
        <v>Stern Float</v>
      </c>
      <c r="E28" s="414"/>
      <c r="F28" s="414"/>
      <c r="G28" s="414"/>
      <c r="H28" s="414"/>
      <c r="I28" s="898">
        <f>'CBS (Total)'!I26</f>
        <v>109.63500000000001</v>
      </c>
      <c r="J28" s="892">
        <f>'CBS (Total)'!J26/'CBS ($ per kW)'!J$1</f>
        <v>1256.7462989276141</v>
      </c>
      <c r="K28" s="893">
        <f t="shared" si="0"/>
        <v>1.8280804650266828E-2</v>
      </c>
      <c r="L28" s="892">
        <f>'CBS (Total)'!L26/'CBS ($ per kW)'!L$1</f>
        <v>883.63458579088478</v>
      </c>
      <c r="M28" s="893">
        <f t="shared" si="1"/>
        <v>2.5499304524363563E-2</v>
      </c>
      <c r="N28" s="892">
        <f>'CBS (Total)'!N26/'CBS ($ per kW)'!N$1</f>
        <v>782.75862868632714</v>
      </c>
      <c r="O28" s="893">
        <f t="shared" si="2"/>
        <v>3.2682965697591729E-2</v>
      </c>
      <c r="P28" s="892">
        <f>'CBS (Total)'!P26/$P$1</f>
        <v>760.44952278820369</v>
      </c>
      <c r="Q28" s="894">
        <f t="shared" si="3"/>
        <v>3.4350879248981329E-2</v>
      </c>
      <c r="R28" s="136"/>
      <c r="S28" s="136"/>
      <c r="T28" s="136"/>
      <c r="U28" s="136"/>
      <c r="V28" s="86"/>
      <c r="W28" s="86"/>
      <c r="X28" s="86"/>
      <c r="Y28" s="86"/>
    </row>
    <row r="29" spans="1:27" s="60" customFormat="1" ht="15" outlineLevel="1" x14ac:dyDescent="0.25">
      <c r="A29" s="897" t="s">
        <v>30</v>
      </c>
      <c r="B29" s="414"/>
      <c r="C29" s="414"/>
      <c r="D29" s="414" t="str">
        <f>'CBS (Total)'!D27</f>
        <v>Bow Float</v>
      </c>
      <c r="E29" s="414"/>
      <c r="F29" s="414"/>
      <c r="G29" s="414"/>
      <c r="H29" s="414"/>
      <c r="I29" s="898">
        <f>'CBS (Total)'!I27</f>
        <v>100.075</v>
      </c>
      <c r="J29" s="892">
        <f>'CBS (Total)'!J27/'CBS ($ per kW)'!J$1</f>
        <v>1147.1599932975871</v>
      </c>
      <c r="K29" s="893">
        <f t="shared" si="0"/>
        <v>1.668674716445891E-2</v>
      </c>
      <c r="L29" s="892">
        <f>'CBS (Total)'!L27/'CBS ($ per kW)'!L$1</f>
        <v>806.58303619302956</v>
      </c>
      <c r="M29" s="893">
        <f t="shared" si="1"/>
        <v>2.3275805174220673E-2</v>
      </c>
      <c r="N29" s="892">
        <f>'CBS (Total)'!N27/'CBS ($ per kW)'!N$1</f>
        <v>714.50330428954419</v>
      </c>
      <c r="O29" s="893">
        <f t="shared" si="2"/>
        <v>2.9833062363173183E-2</v>
      </c>
      <c r="P29" s="892">
        <f>'CBS (Total)'!P27/$P$1</f>
        <v>694.13951742627341</v>
      </c>
      <c r="Q29" s="894">
        <f t="shared" si="3"/>
        <v>3.1355536469574556E-2</v>
      </c>
      <c r="R29" s="136"/>
      <c r="S29" s="136"/>
      <c r="T29" s="136"/>
      <c r="U29" s="136"/>
      <c r="V29" s="86"/>
      <c r="W29" s="86"/>
      <c r="X29" s="86"/>
      <c r="Y29" s="86"/>
    </row>
    <row r="30" spans="1:27" s="60" customFormat="1" ht="15" outlineLevel="1" x14ac:dyDescent="0.25">
      <c r="A30" s="919" t="s">
        <v>31</v>
      </c>
      <c r="B30" s="102"/>
      <c r="C30" s="102"/>
      <c r="D30" s="102" t="str">
        <f>'CBS (Total)'!D28</f>
        <v>Girders and Structural Supports</v>
      </c>
      <c r="E30" s="102"/>
      <c r="F30" s="102"/>
      <c r="G30" s="102"/>
      <c r="H30" s="102"/>
      <c r="I30" s="920">
        <f>'CBS (Total)'!I28</f>
        <v>922.96662578000007</v>
      </c>
      <c r="J30" s="921">
        <f>'CBS (Total)'!J28/'CBS ($ per kW)'!J$1</f>
        <v>10579.968905757496</v>
      </c>
      <c r="K30" s="901">
        <f t="shared" si="0"/>
        <v>0.15389768399325127</v>
      </c>
      <c r="L30" s="921">
        <f>'CBS (Total)'!L28/'CBS ($ per kW)'!L$1</f>
        <v>7438.9130484783218</v>
      </c>
      <c r="M30" s="901">
        <f t="shared" si="1"/>
        <v>0.21466691345454028</v>
      </c>
      <c r="N30" s="921">
        <f>'CBS (Total)'!N28/'CBS ($ per kW)'!N$1</f>
        <v>6589.6847751064824</v>
      </c>
      <c r="O30" s="901">
        <f t="shared" si="2"/>
        <v>0.27514285192128168</v>
      </c>
      <c r="P30" s="921">
        <f>'CBS (Total)'!P28/$P$1</f>
        <v>6401.874676187711</v>
      </c>
      <c r="Q30" s="922">
        <f t="shared" si="3"/>
        <v>0.28918424876187826</v>
      </c>
    </row>
    <row r="31" spans="1:27" s="59" customFormat="1" ht="15" x14ac:dyDescent="0.25">
      <c r="A31" s="927">
        <v>1.5</v>
      </c>
      <c r="B31" s="928"/>
      <c r="C31" s="928" t="str">
        <f>'CBS (Total)'!C29</f>
        <v>Power Take Off</v>
      </c>
      <c r="D31" s="928"/>
      <c r="E31" s="928"/>
      <c r="F31" s="928"/>
      <c r="G31" s="928"/>
      <c r="H31" s="928"/>
      <c r="I31" s="932">
        <f>'CBS (Total)'!I29</f>
        <v>59.601935120125823</v>
      </c>
      <c r="J31" s="934">
        <f>'CBS (Total)'!J29/'CBS ($ per kW)'!J$1</f>
        <v>4389.3989744225855</v>
      </c>
      <c r="K31" s="930">
        <f t="shared" si="0"/>
        <v>6.384880166503884E-2</v>
      </c>
      <c r="L31" s="934">
        <f>'CBS (Total)'!L29/'CBS ($ per kW)'!L$1</f>
        <v>2613.7730401195086</v>
      </c>
      <c r="M31" s="930">
        <f t="shared" si="1"/>
        <v>7.5426421486122885E-2</v>
      </c>
      <c r="N31" s="934">
        <f>'CBS (Total)'!N29/'CBS ($ per kW)'!N$1</f>
        <v>1832.9029498761831</v>
      </c>
      <c r="O31" s="930">
        <f t="shared" si="2"/>
        <v>7.6530238112294827E-2</v>
      </c>
      <c r="P31" s="934">
        <f>'CBS (Total)'!P29/'CBS ($ per kW)'!P$1</f>
        <v>1576.7443356624503</v>
      </c>
      <c r="Q31" s="931">
        <f t="shared" si="3"/>
        <v>7.1224391176245336E-2</v>
      </c>
    </row>
    <row r="32" spans="1:27" s="60" customFormat="1" ht="15" outlineLevel="1" x14ac:dyDescent="0.25">
      <c r="A32" s="903" t="s">
        <v>33</v>
      </c>
      <c r="B32" s="904"/>
      <c r="C32" s="904"/>
      <c r="D32" s="904" t="str">
        <f>'CBS (Total)'!D30</f>
        <v>Fabricated Circular Parts</v>
      </c>
      <c r="E32" s="904"/>
      <c r="F32" s="904"/>
      <c r="G32" s="904"/>
      <c r="H32" s="904"/>
      <c r="I32" s="923">
        <f>'CBS (Total)'!I30</f>
        <v>45.322580346986072</v>
      </c>
      <c r="J32" s="905">
        <f>'CBS (Total)'!J30/'CBS ($ per kW)'!J$1</f>
        <v>3281.9390812461779</v>
      </c>
      <c r="K32" s="906">
        <f t="shared" si="0"/>
        <v>4.7739537621501474E-2</v>
      </c>
      <c r="L32" s="905">
        <f>'CBS (Total)'!L30/'CBS ($ per kW)'!L$1</f>
        <v>1912.7810557439389</v>
      </c>
      <c r="M32" s="906">
        <f t="shared" si="1"/>
        <v>5.5197688516450863E-2</v>
      </c>
      <c r="N32" s="905">
        <f>'CBS (Total)'!N30/'CBS ($ per kW)'!N$1</f>
        <v>1311.5386170255997</v>
      </c>
      <c r="O32" s="906">
        <f t="shared" si="2"/>
        <v>5.476141694311714E-2</v>
      </c>
      <c r="P32" s="905">
        <f>'CBS (Total)'!P30/'CBS ($ per kW)'!P$1</f>
        <v>1114.8078244717599</v>
      </c>
      <c r="Q32" s="908">
        <f t="shared" si="3"/>
        <v>5.0357884141791501E-2</v>
      </c>
    </row>
    <row r="33" spans="1:18" s="60" customFormat="1" ht="15" outlineLevel="1" x14ac:dyDescent="0.25">
      <c r="A33" s="891" t="s">
        <v>35</v>
      </c>
      <c r="B33" s="492"/>
      <c r="C33" s="492"/>
      <c r="D33" s="492" t="str">
        <f>'CBS (Total)'!D31</f>
        <v>Fabricated Rectangular Parts</v>
      </c>
      <c r="E33" s="492"/>
      <c r="F33" s="492"/>
      <c r="G33" s="492"/>
      <c r="H33" s="492"/>
      <c r="I33" s="899">
        <f>'CBS (Total)'!I31</f>
        <v>8.1749446098003631</v>
      </c>
      <c r="J33" s="487">
        <f>'CBS (Total)'!J31/'CBS ($ per kW)'!J$1</f>
        <v>621.96807012010743</v>
      </c>
      <c r="K33" s="893">
        <f t="shared" si="0"/>
        <v>9.0472331593665876E-3</v>
      </c>
      <c r="L33" s="487">
        <f>'CBS (Total)'!L31/'CBS ($ per kW)'!L$1</f>
        <v>362.49568086182308</v>
      </c>
      <c r="M33" s="893">
        <f t="shared" si="1"/>
        <v>1.0460645049094554E-2</v>
      </c>
      <c r="N33" s="487">
        <f>'CBS (Total)'!N31/'CBS ($ per kW)'!N$1</f>
        <v>248.55279830778147</v>
      </c>
      <c r="O33" s="893">
        <f t="shared" si="2"/>
        <v>1.0377966187056806E-2</v>
      </c>
      <c r="P33" s="487">
        <f>'CBS (Total)'!P31/'CBS ($ per kW)'!P$1</f>
        <v>211.26987856161426</v>
      </c>
      <c r="Q33" s="895">
        <f t="shared" si="3"/>
        <v>9.5434422271814968E-3</v>
      </c>
    </row>
    <row r="34" spans="1:18" s="60" customFormat="1" ht="15" outlineLevel="1" x14ac:dyDescent="0.25">
      <c r="A34" s="891" t="s">
        <v>36</v>
      </c>
      <c r="B34" s="492"/>
      <c r="C34" s="492"/>
      <c r="D34" s="492" t="str">
        <f>'CBS (Total)'!D32</f>
        <v>Ducting</v>
      </c>
      <c r="E34" s="492"/>
      <c r="F34" s="492"/>
      <c r="G34" s="492"/>
      <c r="H34" s="492"/>
      <c r="I34" s="899">
        <f>'CBS (Total)'!I32</f>
        <v>2.5480943738656987</v>
      </c>
      <c r="J34" s="487">
        <f>'CBS (Total)'!J32/'CBS ($ per kW)'!J$1</f>
        <v>15.056300268096518</v>
      </c>
      <c r="K34" s="893">
        <f t="shared" si="0"/>
        <v>2.1901101613881562E-4</v>
      </c>
      <c r="L34" s="487">
        <f>'CBS (Total)'!L32/'CBS ($ per kW)'!L$1</f>
        <v>12.697484339716096</v>
      </c>
      <c r="M34" s="893">
        <f t="shared" si="1"/>
        <v>3.6641506011443186E-4</v>
      </c>
      <c r="N34" s="487">
        <f>'CBS (Total)'!N32/'CBS ($ per kW)'!N$1</f>
        <v>11.271805835186337</v>
      </c>
      <c r="O34" s="893">
        <f t="shared" si="2"/>
        <v>4.706381123892225E-4</v>
      </c>
      <c r="P34" s="487">
        <f>'CBS (Total)'!P32/'CBS ($ per kW)'!P$1</f>
        <v>10.70821554342702</v>
      </c>
      <c r="Q34" s="895">
        <f t="shared" si="3"/>
        <v>4.8370944826902653E-4</v>
      </c>
    </row>
    <row r="35" spans="1:18" s="60" customFormat="1" ht="15" outlineLevel="1" x14ac:dyDescent="0.25">
      <c r="A35" s="891" t="s">
        <v>37</v>
      </c>
      <c r="B35" s="492"/>
      <c r="C35" s="492"/>
      <c r="D35" s="492" t="str">
        <f>'CBS (Total)'!D33</f>
        <v>Rotor Blades</v>
      </c>
      <c r="E35" s="492"/>
      <c r="F35" s="492"/>
      <c r="G35" s="492"/>
      <c r="H35" s="492"/>
      <c r="I35" s="899">
        <f>'CBS (Total)'!I33</f>
        <v>1.3008166969147006</v>
      </c>
      <c r="J35" s="487">
        <f>'CBS (Total)'!J33/'CBS ($ per kW)'!J$1</f>
        <v>147.50061662198391</v>
      </c>
      <c r="K35" s="893">
        <f t="shared" si="0"/>
        <v>2.1455642722491091E-3</v>
      </c>
      <c r="L35" s="487">
        <f>'CBS (Total)'!L33/'CBS ($ per kW)'!L$1</f>
        <v>85.966368723075448</v>
      </c>
      <c r="M35" s="893">
        <f t="shared" si="1"/>
        <v>2.4807569216651146E-3</v>
      </c>
      <c r="N35" s="487">
        <f>'CBS (Total)'!N33/'CBS ($ per kW)'!N$1</f>
        <v>58.944651300890229</v>
      </c>
      <c r="O35" s="893">
        <f t="shared" si="2"/>
        <v>2.461149511384686E-3</v>
      </c>
      <c r="P35" s="487">
        <f>'CBS (Total)'!P33/'CBS ($ per kW)'!P$1</f>
        <v>50.102953605756689</v>
      </c>
      <c r="Q35" s="895">
        <f t="shared" si="3"/>
        <v>2.2632409617646741E-3</v>
      </c>
    </row>
    <row r="36" spans="1:18" s="60" customFormat="1" ht="15" outlineLevel="1" x14ac:dyDescent="0.25">
      <c r="A36" s="891" t="s">
        <v>40</v>
      </c>
      <c r="B36" s="492"/>
      <c r="C36" s="492"/>
      <c r="D36" s="492" t="str">
        <f>'CBS (Total)'!D34</f>
        <v>Bearings</v>
      </c>
      <c r="E36" s="492"/>
      <c r="F36" s="492"/>
      <c r="G36" s="492"/>
      <c r="H36" s="492"/>
      <c r="I36" s="899">
        <f>'CBS (Total)'!I34</f>
        <v>9.8058076225045365E-2</v>
      </c>
      <c r="J36" s="487">
        <f>'CBS (Total)'!J34/'CBS ($ per kW)'!J$1</f>
        <v>85.937587131367295</v>
      </c>
      <c r="K36" s="893">
        <f t="shared" si="0"/>
        <v>1.2500599713755724E-3</v>
      </c>
      <c r="L36" s="487">
        <f>'CBS (Total)'!L34/'CBS ($ per kW)'!L$1</f>
        <v>74.424133595660351</v>
      </c>
      <c r="M36" s="893">
        <f t="shared" si="1"/>
        <v>2.1476792296660652E-3</v>
      </c>
      <c r="N36" s="487">
        <f>'CBS (Total)'!N34/'CBS ($ per kW)'!N$1</f>
        <v>67.305347813972148</v>
      </c>
      <c r="O36" s="893">
        <f t="shared" si="2"/>
        <v>2.8102384224882532E-3</v>
      </c>
      <c r="P36" s="487">
        <f>'CBS (Total)'!P34/'CBS ($ per kW)'!P$1</f>
        <v>64.453190348452068</v>
      </c>
      <c r="Q36" s="895">
        <f t="shared" si="3"/>
        <v>2.9114670895623979E-3</v>
      </c>
    </row>
    <row r="37" spans="1:18" s="60" customFormat="1" outlineLevel="1" x14ac:dyDescent="0.3">
      <c r="A37" s="891" t="s">
        <v>42</v>
      </c>
      <c r="B37" s="492"/>
      <c r="C37" s="492"/>
      <c r="D37" s="492" t="str">
        <f>'CBS (Total)'!D35</f>
        <v>Flex Coupling</v>
      </c>
      <c r="E37" s="492"/>
      <c r="F37" s="492"/>
      <c r="G37" s="492"/>
      <c r="H37" s="492"/>
      <c r="I37" s="899">
        <f>'CBS (Total)'!I35</f>
        <v>7.7132486388384755E-2</v>
      </c>
      <c r="J37" s="487">
        <f>'CBS (Total)'!J35/'CBS ($ per kW)'!J$1</f>
        <v>3.7533512064343162</v>
      </c>
      <c r="K37" s="893">
        <f t="shared" si="0"/>
        <v>5.4596763282468267E-5</v>
      </c>
      <c r="L37" s="487">
        <f>'CBS (Total)'!L35/'CBS ($ per kW)'!L$1</f>
        <v>3.1653272926642684</v>
      </c>
      <c r="M37" s="893">
        <f t="shared" si="1"/>
        <v>9.1342785641062061E-5</v>
      </c>
      <c r="N37" s="487">
        <f>'CBS (Total)'!N35/'CBS ($ per kW)'!N$1</f>
        <v>2.8099231070621209</v>
      </c>
      <c r="O37" s="893">
        <f t="shared" si="2"/>
        <v>1.1732431576654407E-4</v>
      </c>
      <c r="P37" s="487">
        <f>'CBS (Total)'!P35/'CBS ($ per kW)'!P$1</f>
        <v>2.6694269517090148</v>
      </c>
      <c r="Q37" s="895">
        <f t="shared" si="3"/>
        <v>1.2058283966820461E-4</v>
      </c>
    </row>
    <row r="38" spans="1:18" s="60" customFormat="1" outlineLevel="1" x14ac:dyDescent="0.3">
      <c r="A38" s="891" t="s">
        <v>44</v>
      </c>
      <c r="B38" s="492"/>
      <c r="C38" s="492"/>
      <c r="D38" s="492" t="str">
        <f>'CBS (Total)'!D36</f>
        <v>Generator</v>
      </c>
      <c r="E38" s="492"/>
      <c r="F38" s="492"/>
      <c r="G38" s="492"/>
      <c r="H38" s="492"/>
      <c r="I38" s="899">
        <f>'CBS (Total)'!I36</f>
        <v>1.1274954627949183</v>
      </c>
      <c r="J38" s="487">
        <f>'CBS (Total)'!J36/'CBS ($ per kW)'!J$1</f>
        <v>93.833780160857913</v>
      </c>
      <c r="K38" s="893">
        <f t="shared" si="0"/>
        <v>1.3649190820617069E-3</v>
      </c>
      <c r="L38" s="487">
        <f>'CBS (Total)'!L36/'CBS ($ per kW)'!L$1</f>
        <v>82.787909400793438</v>
      </c>
      <c r="M38" s="893">
        <f t="shared" si="1"/>
        <v>2.3890351811623593E-3</v>
      </c>
      <c r="N38" s="487">
        <f>'CBS (Total)'!N36/'CBS ($ per kW)'!N$1</f>
        <v>75.848733206403665</v>
      </c>
      <c r="O38" s="893">
        <f t="shared" si="2"/>
        <v>3.1669552461542592E-3</v>
      </c>
      <c r="P38" s="487">
        <f>'CBS (Total)'!P36/'CBS ($ per kW)'!P$1</f>
        <v>73.042330077766721</v>
      </c>
      <c r="Q38" s="895">
        <f t="shared" si="3"/>
        <v>3.2994540536576992E-3</v>
      </c>
    </row>
    <row r="39" spans="1:18" s="60" customFormat="1" outlineLevel="1" x14ac:dyDescent="0.3">
      <c r="A39" s="891" t="s">
        <v>46</v>
      </c>
      <c r="B39" s="492"/>
      <c r="C39" s="492"/>
      <c r="D39" s="492" t="str">
        <f>'CBS (Total)'!D37</f>
        <v>Power Electronics</v>
      </c>
      <c r="E39" s="492"/>
      <c r="F39" s="492"/>
      <c r="G39" s="492"/>
      <c r="H39" s="492"/>
      <c r="I39" s="899">
        <f>'CBS (Total)'!I37</f>
        <v>0.95281306715063507</v>
      </c>
      <c r="J39" s="487">
        <f>'CBS (Total)'!J37/'CBS ($ per kW)'!J$1</f>
        <v>107.23860589812332</v>
      </c>
      <c r="K39" s="893">
        <f t="shared" si="0"/>
        <v>1.5599075223562363E-3</v>
      </c>
      <c r="L39" s="487">
        <f>'CBS (Total)'!L37/'CBS ($ per kW)'!L$1</f>
        <v>50.677106614372825</v>
      </c>
      <c r="M39" s="893">
        <f t="shared" si="1"/>
        <v>1.4624042503009753E-3</v>
      </c>
      <c r="N39" s="487">
        <f>'CBS (Total)'!N37/'CBS ($ per kW)'!N$1</f>
        <v>30.010247095303328</v>
      </c>
      <c r="O39" s="893">
        <f t="shared" si="2"/>
        <v>1.2530348953650355E-3</v>
      </c>
      <c r="P39" s="487">
        <f>'CBS (Total)'!P37/'CBS ($ per kW)'!P$1</f>
        <v>23.948177182052056</v>
      </c>
      <c r="Q39" s="895">
        <f t="shared" si="3"/>
        <v>1.0817824430971437E-3</v>
      </c>
    </row>
    <row r="40" spans="1:18" s="60" customFormat="1" outlineLevel="1" x14ac:dyDescent="0.3">
      <c r="A40" s="900" t="s">
        <v>61</v>
      </c>
      <c r="B40" s="78"/>
      <c r="C40" s="78"/>
      <c r="D40" s="78" t="str">
        <f>'CBS (Total)'!D38</f>
        <v>Mechanical Face Seal</v>
      </c>
      <c r="E40" s="78"/>
      <c r="F40" s="78"/>
      <c r="G40" s="78"/>
      <c r="H40" s="78"/>
      <c r="I40" s="924">
        <f>'CBS (Total)'!I38</f>
        <v>0</v>
      </c>
      <c r="J40" s="523">
        <f>'CBS (Total)'!J38/'CBS ($ per kW)'!J$1</f>
        <v>32.171581769436997</v>
      </c>
      <c r="K40" s="901">
        <f t="shared" si="0"/>
        <v>4.6797225670687091E-4</v>
      </c>
      <c r="L40" s="523">
        <f>'CBS (Total)'!L38/'CBS ($ per kW)'!L$1</f>
        <v>28.777973547463908</v>
      </c>
      <c r="M40" s="901">
        <f t="shared" si="1"/>
        <v>8.3045449202745676E-4</v>
      </c>
      <c r="N40" s="523">
        <f>'CBS (Total)'!N38/'CBS ($ per kW)'!N$1</f>
        <v>26.620826183984203</v>
      </c>
      <c r="O40" s="901">
        <f t="shared" si="2"/>
        <v>1.1115144785728826E-3</v>
      </c>
      <c r="P40" s="523">
        <f>'CBS (Total)'!P38/'CBS ($ per kW)'!P$1</f>
        <v>25.742338919912719</v>
      </c>
      <c r="Q40" s="902">
        <f t="shared" si="3"/>
        <v>1.1628279712532043E-3</v>
      </c>
      <c r="R40" s="136"/>
    </row>
    <row r="41" spans="1:18" s="60" customFormat="1" outlineLevel="1" x14ac:dyDescent="0.3">
      <c r="A41" s="927">
        <v>1.6</v>
      </c>
      <c r="B41" s="928"/>
      <c r="C41" s="928" t="str">
        <f>'CBS (Total)'!C39</f>
        <v>Subsystem Integration &amp; Profit Margin</v>
      </c>
      <c r="D41" s="928"/>
      <c r="E41" s="928"/>
      <c r="F41" s="928"/>
      <c r="G41" s="928"/>
      <c r="H41" s="928"/>
      <c r="I41" s="928"/>
      <c r="J41" s="935">
        <f>'CBS (Total)'!J39/'CBS ($ per kW)'!J$1</f>
        <v>2498.5865715836921</v>
      </c>
      <c r="K41" s="930">
        <f t="shared" si="0"/>
        <v>3.6344784190633417E-2</v>
      </c>
      <c r="L41" s="935">
        <f>'CBS (Total)'!L39/'CBS ($ per kW)'!L$1</f>
        <v>1709.5415336050914</v>
      </c>
      <c r="M41" s="930">
        <f t="shared" si="1"/>
        <v>4.9332745530130215E-2</v>
      </c>
      <c r="N41" s="935">
        <f>'CBS (Total)'!N39/'CBS ($ per kW)'!N$1</f>
        <v>1466.1317146162291</v>
      </c>
      <c r="O41" s="930">
        <f t="shared" si="2"/>
        <v>6.1216230368960178E-2</v>
      </c>
      <c r="P41" s="935">
        <f>'CBS (Total)'!P39/'CBS ($ per kW)'!P$1</f>
        <v>1403.954077914239</v>
      </c>
      <c r="Q41" s="931">
        <f t="shared" si="3"/>
        <v>6.3419142962601191E-2</v>
      </c>
    </row>
    <row r="42" spans="1:18" s="59" customFormat="1" x14ac:dyDescent="0.3">
      <c r="A42" s="927">
        <v>1.7</v>
      </c>
      <c r="B42" s="928"/>
      <c r="C42" s="928" t="str">
        <f>'CBS (Total)'!C40</f>
        <v>Installation</v>
      </c>
      <c r="D42" s="928"/>
      <c r="E42" s="928"/>
      <c r="F42" s="928"/>
      <c r="G42" s="928"/>
      <c r="H42" s="928"/>
      <c r="I42" s="928"/>
      <c r="J42" s="929">
        <f>'CBS (Total)'!J40/'CBS ($ per kW)'!J$1</f>
        <v>15840.542439678284</v>
      </c>
      <c r="K42" s="930">
        <f t="shared" si="0"/>
        <v>0.23041871071441991</v>
      </c>
      <c r="L42" s="929">
        <f>'CBS (Total)'!L40/'CBS ($ per kW)'!L$1</f>
        <v>2434.8453500148944</v>
      </c>
      <c r="M42" s="930">
        <f t="shared" si="1"/>
        <v>7.0263052225587569E-2</v>
      </c>
      <c r="N42" s="929">
        <f>'CBS (Total)'!N40/'CBS ($ per kW)'!N$1</f>
        <v>1154.4892963955913</v>
      </c>
      <c r="O42" s="930">
        <f t="shared" si="2"/>
        <v>4.8204047441365507E-2</v>
      </c>
      <c r="P42" s="929">
        <f>'CBS (Total)'!P40/'CBS ($ per kW)'!P$1</f>
        <v>1015.0024304438487</v>
      </c>
      <c r="Q42" s="931">
        <f t="shared" si="3"/>
        <v>4.5849494122583552E-2</v>
      </c>
    </row>
    <row r="43" spans="1:18" s="59" customFormat="1" x14ac:dyDescent="0.3">
      <c r="A43" s="903" t="s">
        <v>73</v>
      </c>
      <c r="B43" s="904"/>
      <c r="C43" s="904"/>
      <c r="D43" s="904" t="str">
        <f>'CBS (Total)'!D41</f>
        <v>Transport to Staging Site</v>
      </c>
      <c r="E43" s="904"/>
      <c r="F43" s="904"/>
      <c r="G43" s="904"/>
      <c r="H43" s="904"/>
      <c r="I43" s="904"/>
      <c r="J43" s="905">
        <f>'CBS (Total)'!J41/'CBS ($ per kW)'!J$1</f>
        <v>79.758713136729227</v>
      </c>
      <c r="K43" s="906">
        <f t="shared" si="0"/>
        <v>1.1601812197524508E-3</v>
      </c>
      <c r="L43" s="905">
        <f>'CBS (Total)'!L41/'CBS ($ per kW)'!L$1</f>
        <v>79.758713136729227</v>
      </c>
      <c r="M43" s="906">
        <f t="shared" si="1"/>
        <v>2.3016207688662371E-3</v>
      </c>
      <c r="N43" s="905">
        <f>'CBS (Total)'!N41/'CBS ($ per kW)'!N$1</f>
        <v>79.758713136729227</v>
      </c>
      <c r="O43" s="906">
        <f t="shared" si="2"/>
        <v>3.330210859389168E-3</v>
      </c>
      <c r="P43" s="905">
        <f>'CBS (Total)'!P41/'CBS ($ per kW)'!P$1</f>
        <v>79.758713136729227</v>
      </c>
      <c r="Q43" s="908">
        <f t="shared" si="3"/>
        <v>3.6028452144574435E-3</v>
      </c>
    </row>
    <row r="44" spans="1:18" s="60" customFormat="1" outlineLevel="1" x14ac:dyDescent="0.3">
      <c r="A44" s="891" t="s">
        <v>74</v>
      </c>
      <c r="B44" s="492"/>
      <c r="C44" s="492"/>
      <c r="D44" s="492" t="str">
        <f>'CBS (Total)'!D42</f>
        <v>Cable Shore Landing</v>
      </c>
      <c r="E44" s="492"/>
      <c r="F44" s="492"/>
      <c r="G44" s="492"/>
      <c r="H44" s="492"/>
      <c r="I44" s="492"/>
      <c r="J44" s="487">
        <f>'CBS (Total)'!J42/'CBS ($ per kW)'!J$1</f>
        <v>1788.2037533512064</v>
      </c>
      <c r="K44" s="893">
        <f t="shared" si="0"/>
        <v>2.6011457935290239E-2</v>
      </c>
      <c r="L44" s="487">
        <f>'CBS (Total)'!L42/'CBS ($ per kW)'!L$1</f>
        <v>205.68364611260054</v>
      </c>
      <c r="M44" s="893">
        <f t="shared" si="1"/>
        <v>5.935473794535049E-3</v>
      </c>
      <c r="N44" s="487">
        <f>'CBS (Total)'!N42/'CBS ($ per kW)'!N$1</f>
        <v>41.13672922252011</v>
      </c>
      <c r="O44" s="893">
        <f t="shared" si="2"/>
        <v>1.7176052244190722E-3</v>
      </c>
      <c r="P44" s="487">
        <f>'CBS (Total)'!P42/'CBS ($ per kW)'!P$1</f>
        <v>41.126005361930297</v>
      </c>
      <c r="Q44" s="895">
        <f t="shared" si="3"/>
        <v>1.8577359862109977E-3</v>
      </c>
    </row>
    <row r="45" spans="1:18" s="60" customFormat="1" outlineLevel="1" x14ac:dyDescent="0.3">
      <c r="A45" s="891" t="s">
        <v>75</v>
      </c>
      <c r="B45" s="492"/>
      <c r="C45" s="492"/>
      <c r="D45" s="492" t="str">
        <f>'CBS (Total)'!D43</f>
        <v>Mooring/Foundation System</v>
      </c>
      <c r="E45" s="492"/>
      <c r="F45" s="492"/>
      <c r="G45" s="492"/>
      <c r="H45" s="492"/>
      <c r="I45" s="492"/>
      <c r="J45" s="487">
        <f>'CBS (Total)'!J43/'CBS ($ per kW)'!J$1</f>
        <v>8562.5564343163551</v>
      </c>
      <c r="K45" s="893">
        <f t="shared" si="0"/>
        <v>0.12455212449496808</v>
      </c>
      <c r="L45" s="487">
        <f>'CBS (Total)'!L43/'CBS ($ per kW)'!L$1</f>
        <v>1046.7985403634198</v>
      </c>
      <c r="M45" s="893">
        <f t="shared" si="1"/>
        <v>3.0207775007465618E-2</v>
      </c>
      <c r="N45" s="487">
        <f>'CBS (Total)'!N43/'CBS ($ per kW)'!N$1</f>
        <v>378.76465296395594</v>
      </c>
      <c r="O45" s="893">
        <f t="shared" si="2"/>
        <v>1.5814775726019973E-2</v>
      </c>
      <c r="P45" s="487">
        <f>'CBS (Total)'!P43/'CBS ($ per kW)'!P$1</f>
        <v>295.26041703902297</v>
      </c>
      <c r="Q45" s="895">
        <f t="shared" si="3"/>
        <v>1.3337446640144935E-2</v>
      </c>
    </row>
    <row r="46" spans="1:18" s="60" customFormat="1" outlineLevel="1" x14ac:dyDescent="0.3">
      <c r="A46" s="891" t="s">
        <v>76</v>
      </c>
      <c r="B46" s="492"/>
      <c r="C46" s="492"/>
      <c r="D46" s="492" t="str">
        <f>'CBS (Total)'!D44</f>
        <v>Cable Installation</v>
      </c>
      <c r="E46" s="492"/>
      <c r="F46" s="492"/>
      <c r="G46" s="492"/>
      <c r="H46" s="492"/>
      <c r="I46" s="492"/>
      <c r="J46" s="487">
        <f>'CBS (Total)'!J44/'CBS ($ per kW)'!J$1</f>
        <v>4041.6455227882038</v>
      </c>
      <c r="K46" s="893">
        <f t="shared" si="0"/>
        <v>5.8790332090703286E-2</v>
      </c>
      <c r="L46" s="487">
        <f>'CBS (Total)'!L44/'CBS ($ per kW)'!L$1</f>
        <v>611.30418230563009</v>
      </c>
      <c r="M46" s="893">
        <f t="shared" si="1"/>
        <v>1.7640585545524626E-2</v>
      </c>
      <c r="N46" s="487">
        <f>'CBS (Total)'!N44/'CBS ($ per kW)'!N$1</f>
        <v>241.49139946380694</v>
      </c>
      <c r="O46" s="893">
        <f t="shared" si="2"/>
        <v>1.008312758964402E-2</v>
      </c>
      <c r="P46" s="487">
        <f>'CBS (Total)'!P44/'CBS ($ per kW)'!P$1</f>
        <v>195.26480160857909</v>
      </c>
      <c r="Q46" s="895">
        <f t="shared" si="3"/>
        <v>8.8204639764114055E-3</v>
      </c>
    </row>
    <row r="47" spans="1:18" s="60" customFormat="1" outlineLevel="1" x14ac:dyDescent="0.3">
      <c r="A47" s="891" t="s">
        <v>77</v>
      </c>
      <c r="B47" s="492"/>
      <c r="C47" s="492"/>
      <c r="D47" s="492" t="str">
        <f>'CBS (Total)'!D45</f>
        <v>Device Installation</v>
      </c>
      <c r="E47" s="492"/>
      <c r="F47" s="492"/>
      <c r="G47" s="492"/>
      <c r="H47" s="492"/>
      <c r="I47" s="492"/>
      <c r="J47" s="487">
        <f>'CBS (Total)'!J45/'CBS ($ per kW)'!J$1</f>
        <v>684.18900804289547</v>
      </c>
      <c r="K47" s="893">
        <f t="shared" si="0"/>
        <v>9.9523074868529352E-3</v>
      </c>
      <c r="L47" s="487">
        <f>'CBS (Total)'!L45/'CBS ($ per kW)'!L$1</f>
        <v>245.65013404825737</v>
      </c>
      <c r="M47" s="893">
        <f t="shared" si="1"/>
        <v>7.0887985545980206E-3</v>
      </c>
      <c r="N47" s="487">
        <f>'CBS (Total)'!N45/'CBS ($ per kW)'!N$1</f>
        <v>206.66890080428954</v>
      </c>
      <c r="O47" s="893">
        <f t="shared" si="2"/>
        <v>8.6291640209466367E-3</v>
      </c>
      <c r="P47" s="487">
        <f>'CBS (Total)'!P45/'CBS ($ per kW)'!P$1</f>
        <v>201.79624664879356</v>
      </c>
      <c r="Q47" s="895">
        <f t="shared" si="3"/>
        <v>9.1155011526793863E-3</v>
      </c>
    </row>
    <row r="48" spans="1:18" s="60" customFormat="1" outlineLevel="1" x14ac:dyDescent="0.3">
      <c r="A48" s="900" t="s">
        <v>78</v>
      </c>
      <c r="B48" s="78"/>
      <c r="C48" s="78"/>
      <c r="D48" s="78" t="str">
        <f>'CBS (Total)'!D46</f>
        <v>Device Comissioning</v>
      </c>
      <c r="E48" s="78"/>
      <c r="F48" s="78"/>
      <c r="G48" s="78"/>
      <c r="H48" s="78"/>
      <c r="I48" s="78"/>
      <c r="J48" s="523">
        <f>'CBS (Total)'!J46/'CBS ($ per kW)'!J$1</f>
        <v>684.18900804289547</v>
      </c>
      <c r="K48" s="901">
        <f t="shared" si="0"/>
        <v>9.9523074868529352E-3</v>
      </c>
      <c r="L48" s="523">
        <f>'CBS (Total)'!L46/'CBS ($ per kW)'!L$1</f>
        <v>245.65013404825737</v>
      </c>
      <c r="M48" s="901">
        <f t="shared" si="1"/>
        <v>7.0887985545980206E-3</v>
      </c>
      <c r="N48" s="523">
        <f>'CBS (Total)'!N46/'CBS ($ per kW)'!N$1</f>
        <v>206.66890080428954</v>
      </c>
      <c r="O48" s="901">
        <f t="shared" si="2"/>
        <v>8.6291640209466367E-3</v>
      </c>
      <c r="P48" s="523">
        <f>'CBS (Total)'!P46/'CBS ($ per kW)'!P$1</f>
        <v>201.79624664879356</v>
      </c>
      <c r="Q48" s="902">
        <f t="shared" si="3"/>
        <v>9.1155011526793863E-3</v>
      </c>
    </row>
    <row r="49" spans="1:19" s="60" customFormat="1" outlineLevel="1" x14ac:dyDescent="0.3">
      <c r="A49" s="936">
        <v>1.8</v>
      </c>
      <c r="B49" s="937"/>
      <c r="C49" s="938" t="str">
        <f>'CBS (Total)'!C47</f>
        <v>Decommissioning</v>
      </c>
      <c r="D49" s="937"/>
      <c r="E49" s="937"/>
      <c r="F49" s="937"/>
      <c r="G49" s="937"/>
      <c r="H49" s="937"/>
      <c r="I49" s="937"/>
      <c r="J49" s="939">
        <f>'CBS (Total)'!J47/'CBS ($ per kW)'!J$1</f>
        <v>15840.542439678284</v>
      </c>
      <c r="K49" s="940">
        <f t="shared" si="0"/>
        <v>0.23041871071441991</v>
      </c>
      <c r="L49" s="939">
        <f>'CBS (Total)'!L47/'CBS ($ per kW)'!L$1</f>
        <v>2434.8453500148944</v>
      </c>
      <c r="M49" s="940">
        <f t="shared" si="1"/>
        <v>7.0263052225587569E-2</v>
      </c>
      <c r="N49" s="939">
        <f>'CBS (Total)'!N47/'CBS ($ per kW)'!N$1</f>
        <v>1154.4892963955913</v>
      </c>
      <c r="O49" s="940">
        <f t="shared" si="2"/>
        <v>4.8204047441365507E-2</v>
      </c>
      <c r="P49" s="939">
        <f>'CBS (Total)'!P47/'CBS ($ per kW)'!P$1</f>
        <v>1015.0024304438487</v>
      </c>
      <c r="Q49" s="941">
        <f t="shared" si="3"/>
        <v>4.5849494122583552E-2</v>
      </c>
    </row>
    <row r="50" spans="1:19" s="80" customFormat="1" x14ac:dyDescent="0.3">
      <c r="A50" s="942">
        <v>1.9</v>
      </c>
      <c r="B50" s="928"/>
      <c r="C50" s="928" t="str">
        <f>'CBS (Total)'!C48</f>
        <v>Contingency</v>
      </c>
      <c r="D50" s="928"/>
      <c r="E50" s="928"/>
      <c r="F50" s="928"/>
      <c r="G50" s="928"/>
      <c r="H50" s="928"/>
      <c r="I50" s="928"/>
      <c r="J50" s="943">
        <f>'CBS (Total)'!J48/'CBS ($ per kW)'!J$1</f>
        <v>6249.7064940304163</v>
      </c>
      <c r="K50" s="944">
        <f t="shared" si="0"/>
        <v>9.0909090909090912E-2</v>
      </c>
      <c r="L50" s="943">
        <f>'CBS (Total)'!L48/'CBS ($ per kW)'!L$1</f>
        <v>3150.2983468952239</v>
      </c>
      <c r="M50" s="944">
        <f t="shared" si="1"/>
        <v>9.0909090909090912E-2</v>
      </c>
      <c r="N50" s="943">
        <f>'CBS (Total)'!N48/'CBS ($ per kW)'!N$1</f>
        <v>2177.2771783793214</v>
      </c>
      <c r="O50" s="944">
        <f t="shared" si="2"/>
        <v>9.0909090909090939E-2</v>
      </c>
      <c r="P50" s="943">
        <f>'CBS (Total)'!P48/'CBS ($ per kW)'!P$1</f>
        <v>2012.5183491766868</v>
      </c>
      <c r="Q50" s="945">
        <f t="shared" si="3"/>
        <v>9.0909090909090912E-2</v>
      </c>
      <c r="R50" s="627"/>
    </row>
    <row r="51" spans="1:19" s="80" customFormat="1" x14ac:dyDescent="0.3">
      <c r="A51" s="422"/>
      <c r="B51" s="491"/>
      <c r="C51" s="491"/>
      <c r="D51" s="491"/>
      <c r="E51" s="491"/>
      <c r="F51" s="491"/>
      <c r="G51" s="491"/>
      <c r="H51" s="491"/>
      <c r="I51" s="491"/>
      <c r="J51" s="491"/>
      <c r="K51" s="77"/>
      <c r="L51" s="491"/>
      <c r="M51" s="77"/>
      <c r="N51" s="491"/>
      <c r="O51" s="77"/>
      <c r="P51" s="491"/>
      <c r="Q51" s="491"/>
    </row>
    <row r="52" spans="1:19" outlineLevel="1" x14ac:dyDescent="0.3">
      <c r="A52" s="789" t="s">
        <v>457</v>
      </c>
      <c r="B52" s="790"/>
      <c r="C52" s="790"/>
      <c r="D52" s="790"/>
      <c r="E52" s="790"/>
      <c r="F52" s="790"/>
      <c r="G52" s="790"/>
      <c r="H52" s="790"/>
      <c r="I52" s="607">
        <f>I31+I26</f>
        <v>1856.3795609001259</v>
      </c>
      <c r="J52" s="615">
        <f>'CBS (Total)'!J50/'CBS ($ per kW)'!J$1</f>
        <v>68746.771434334572</v>
      </c>
      <c r="K52" s="606">
        <f>J52/$J$52</f>
        <v>1</v>
      </c>
      <c r="L52" s="615">
        <f>'CBS (Total)'!L50/'CBS ($ per kW)'!L$1</f>
        <v>34653.281815847462</v>
      </c>
      <c r="M52" s="606">
        <f t="shared" ref="M52" si="4">L52/$L$52</f>
        <v>1</v>
      </c>
      <c r="N52" s="615">
        <f>'CBS (Total)'!N50/'CBS ($ per kW)'!N$1</f>
        <v>23950.048962172528</v>
      </c>
      <c r="O52" s="606">
        <f t="shared" ref="O52" si="5">N52/$N$52</f>
        <v>1</v>
      </c>
      <c r="P52" s="615">
        <f>'CBS (Total)'!P50/'CBS ($ per kW)'!P$1</f>
        <v>22137.701840943555</v>
      </c>
      <c r="Q52" s="606">
        <f t="shared" ref="Q52" si="6">P52/$P$52</f>
        <v>1</v>
      </c>
    </row>
    <row r="53" spans="1:19" outlineLevel="1" x14ac:dyDescent="0.3">
      <c r="A53" s="422"/>
      <c r="B53" s="491"/>
      <c r="C53" s="491"/>
      <c r="D53" s="491"/>
      <c r="E53" s="491"/>
      <c r="F53" s="491"/>
      <c r="G53" s="491"/>
      <c r="H53" s="491"/>
      <c r="I53" s="491"/>
      <c r="J53" s="379"/>
      <c r="K53" s="84"/>
      <c r="L53" s="379"/>
      <c r="M53" s="84"/>
      <c r="N53" s="379"/>
      <c r="O53" s="84"/>
      <c r="P53" s="379"/>
      <c r="Q53" s="491"/>
    </row>
    <row r="54" spans="1:19" s="59" customFormat="1" x14ac:dyDescent="0.3">
      <c r="A54" s="927">
        <v>2</v>
      </c>
      <c r="B54" s="928" t="str">
        <f>'CBS (Total)'!B52</f>
        <v>Annualized OPEX</v>
      </c>
      <c r="C54" s="928"/>
      <c r="D54" s="928"/>
      <c r="E54" s="928"/>
      <c r="F54" s="928"/>
      <c r="G54" s="928"/>
      <c r="H54" s="928"/>
      <c r="I54" s="928"/>
      <c r="J54" s="929">
        <f>'CBS (Total)'!J52/'CBS ($ per kW)'!J$1</f>
        <v>4179.0998388215821</v>
      </c>
      <c r="K54" s="946">
        <f t="shared" ref="K54:K60" si="7">J54/$J$52</f>
        <v>6.0789761491757729E-2</v>
      </c>
      <c r="L54" s="929">
        <f>'CBS (Total)'!L52/'CBS ($ per kW)'!L$1</f>
        <v>1054.2946095671794</v>
      </c>
      <c r="M54" s="946">
        <f t="shared" ref="M54:M60" si="8">L54/$L$52</f>
        <v>3.0424091292993633E-2</v>
      </c>
      <c r="N54" s="929">
        <f>'CBS (Total)'!N52/'CBS ($ per kW)'!N$1</f>
        <v>329.73061641277098</v>
      </c>
      <c r="O54" s="946">
        <f t="shared" ref="O54:O60" si="9">N54/$N$52</f>
        <v>1.3767429742359109E-2</v>
      </c>
      <c r="P54" s="929">
        <f>'CBS (Total)'!P52/'CBS ($ per kW)'!P$1</f>
        <v>184.77033570319986</v>
      </c>
      <c r="Q54" s="931">
        <f t="shared" ref="Q54:Q60" si="10">P54/$P$52</f>
        <v>8.3464099855870381E-3</v>
      </c>
    </row>
    <row r="55" spans="1:19" outlineLevel="1" x14ac:dyDescent="0.3">
      <c r="A55" s="891">
        <v>2.1</v>
      </c>
      <c r="B55" s="492"/>
      <c r="C55" s="492" t="str">
        <f>'CBS (Total)'!C53</f>
        <v>Insurance</v>
      </c>
      <c r="D55" s="492"/>
      <c r="E55" s="492"/>
      <c r="F55" s="492"/>
      <c r="G55" s="492"/>
      <c r="H55" s="492"/>
      <c r="I55" s="492"/>
      <c r="J55" s="487">
        <f>'CBS (Total)'!J53/'CBS ($ per kW)'!J$1</f>
        <v>970.85122291502387</v>
      </c>
      <c r="K55" s="863">
        <f t="shared" si="7"/>
        <v>1.4122135522282088E-2</v>
      </c>
      <c r="L55" s="487">
        <f>'CBS (Total)'!L53/'CBS ($ per kW)'!L$1</f>
        <v>506.78851874953449</v>
      </c>
      <c r="M55" s="863">
        <f t="shared" si="8"/>
        <v>1.4624546138016069E-2</v>
      </c>
      <c r="N55" s="487">
        <f>'CBS (Total)'!N53/'CBS ($ per kW)'!N$1</f>
        <v>200.89819247634088</v>
      </c>
      <c r="O55" s="863">
        <f t="shared" si="9"/>
        <v>8.3882163578724162E-3</v>
      </c>
      <c r="P55" s="487">
        <f>'CBS (Total)'!P53/'CBS ($ per kW)'!P$1</f>
        <v>96.489532640472532</v>
      </c>
      <c r="Q55" s="895">
        <f t="shared" si="10"/>
        <v>4.3586065678242938E-3</v>
      </c>
    </row>
    <row r="56" spans="1:19" outlineLevel="1" x14ac:dyDescent="0.3">
      <c r="A56" s="891">
        <v>2.2000000000000002</v>
      </c>
      <c r="B56" s="492"/>
      <c r="C56" s="492" t="str">
        <f>'CBS (Total)'!C54</f>
        <v>Environmental Monitoring and Regulatory Compliance</v>
      </c>
      <c r="D56" s="492"/>
      <c r="E56" s="492"/>
      <c r="F56" s="492"/>
      <c r="G56" s="492"/>
      <c r="H56" s="492"/>
      <c r="I56" s="492"/>
      <c r="J56" s="487">
        <f>'CBS (Total)'!J54/'CBS ($ per kW)'!J$1</f>
        <v>2292.225201072386</v>
      </c>
      <c r="K56" s="863">
        <f t="shared" si="7"/>
        <v>3.3343023290364551E-2</v>
      </c>
      <c r="L56" s="487">
        <f>'CBS (Total)'!L54/'CBS ($ per kW)'!L$1</f>
        <v>339.41018766756031</v>
      </c>
      <c r="M56" s="863">
        <f t="shared" si="8"/>
        <v>9.7944601458307759E-3</v>
      </c>
      <c r="N56" s="487">
        <f>'CBS (Total)'!N54/'CBS ($ per kW)'!N$1</f>
        <v>67.882037533512062</v>
      </c>
      <c r="O56" s="863">
        <f t="shared" si="9"/>
        <v>2.834317275957436E-3</v>
      </c>
      <c r="P56" s="487">
        <f>'CBS (Total)'!P54/'CBS ($ per kW)'!P$1</f>
        <v>33.941018766756031</v>
      </c>
      <c r="Q56" s="895">
        <f t="shared" si="10"/>
        <v>1.5331771568077724E-3</v>
      </c>
      <c r="R56" s="3"/>
      <c r="S56" s="3"/>
    </row>
    <row r="57" spans="1:19" outlineLevel="1" x14ac:dyDescent="0.3">
      <c r="A57" s="891">
        <v>2.2999999999999998</v>
      </c>
      <c r="B57" s="492"/>
      <c r="C57" s="492" t="str">
        <f>'CBS (Total)'!C55</f>
        <v>Marine Operations</v>
      </c>
      <c r="D57" s="492"/>
      <c r="E57" s="492"/>
      <c r="F57" s="492"/>
      <c r="G57" s="492"/>
      <c r="H57" s="492"/>
      <c r="I57" s="492"/>
      <c r="J57" s="487">
        <f>'CBS (Total)'!J55/'CBS ($ per kW)'!J$1</f>
        <v>84.066130473637173</v>
      </c>
      <c r="K57" s="863">
        <f t="shared" si="7"/>
        <v>1.2228375052337596E-3</v>
      </c>
      <c r="L57" s="487">
        <f>'CBS (Total)'!L55/'CBS ($ per kW)'!L$1</f>
        <v>84.066130473637187</v>
      </c>
      <c r="M57" s="863">
        <f t="shared" si="8"/>
        <v>2.4259211846190134E-3</v>
      </c>
      <c r="N57" s="487">
        <f>'CBS (Total)'!N55/'CBS ($ per kW)'!N$1</f>
        <v>29.059874888293123</v>
      </c>
      <c r="O57" s="863">
        <f t="shared" si="9"/>
        <v>1.2133534647127953E-3</v>
      </c>
      <c r="P57" s="487">
        <f>'CBS (Total)'!P55/'CBS ($ per kW)'!P$1</f>
        <v>29.059874888293123</v>
      </c>
      <c r="Q57" s="895">
        <f t="shared" si="10"/>
        <v>1.3126870664843379E-3</v>
      </c>
      <c r="R57" s="65"/>
      <c r="S57" s="65"/>
    </row>
    <row r="58" spans="1:19" outlineLevel="1" x14ac:dyDescent="0.3">
      <c r="A58" s="891">
        <v>2.4</v>
      </c>
      <c r="B58" s="492"/>
      <c r="C58" s="492" t="str">
        <f>'CBS (Total)'!C56</f>
        <v>Shoreside Operations</v>
      </c>
      <c r="D58" s="492"/>
      <c r="E58" s="492"/>
      <c r="F58" s="492"/>
      <c r="G58" s="492"/>
      <c r="H58" s="492"/>
      <c r="I58" s="492"/>
      <c r="J58" s="487">
        <f>'CBS (Total)'!J56/'CBS ($ per kW)'!J$1</f>
        <v>701.23592493297588</v>
      </c>
      <c r="K58" s="863">
        <f t="shared" si="7"/>
        <v>1.0200274286375488E-2</v>
      </c>
      <c r="L58" s="487">
        <f>'CBS (Total)'!L56/'CBS ($ per kW)'!L$1</f>
        <v>107.22144772117963</v>
      </c>
      <c r="M58" s="863">
        <f t="shared" si="8"/>
        <v>3.0941210212345792E-3</v>
      </c>
      <c r="N58" s="487">
        <f>'CBS (Total)'!N56/'CBS ($ per kW)'!N$1</f>
        <v>24.380268096514744</v>
      </c>
      <c r="O58" s="863">
        <f t="shared" si="9"/>
        <v>1.0179631839175661E-3</v>
      </c>
      <c r="P58" s="487">
        <f>'CBS (Total)'!P56/'CBS ($ per kW)'!P$1</f>
        <v>18.086702412868632</v>
      </c>
      <c r="Q58" s="895">
        <f t="shared" si="10"/>
        <v>8.1700903475975892E-4</v>
      </c>
    </row>
    <row r="59" spans="1:19" outlineLevel="1" x14ac:dyDescent="0.3">
      <c r="A59" s="925">
        <v>2.5</v>
      </c>
      <c r="B59" s="492"/>
      <c r="C59" s="492" t="str">
        <f>'CBS (Total)'!C57</f>
        <v>Replacement Parts</v>
      </c>
      <c r="D59" s="492"/>
      <c r="E59" s="492"/>
      <c r="F59" s="492"/>
      <c r="G59" s="492"/>
      <c r="H59" s="492"/>
      <c r="I59" s="492"/>
      <c r="J59" s="487">
        <f>'CBS (Total)'!J57/'CBS ($ per kW)'!J$1</f>
        <v>125.35942913265255</v>
      </c>
      <c r="K59" s="863">
        <f t="shared" si="7"/>
        <v>1.8234955113840242E-3</v>
      </c>
      <c r="L59" s="487">
        <f>'CBS (Total)'!L57/'CBS ($ per kW)'!L$1</f>
        <v>11.446394660361644</v>
      </c>
      <c r="M59" s="863">
        <f t="shared" si="8"/>
        <v>3.3031199530218915E-4</v>
      </c>
      <c r="N59" s="487">
        <f>'CBS (Total)'!N57/'CBS ($ per kW)'!N$1</f>
        <v>2.1483131232039501</v>
      </c>
      <c r="O59" s="863">
        <f t="shared" si="9"/>
        <v>8.9699738259285582E-5</v>
      </c>
      <c r="P59" s="487">
        <f>'CBS (Total)'!P57/'CBS ($ per kW)'!P$1</f>
        <v>1.8312766999033421</v>
      </c>
      <c r="Q59" s="895">
        <f t="shared" si="10"/>
        <v>8.2722078066676562E-5</v>
      </c>
    </row>
    <row r="60" spans="1:19" outlineLevel="1" x14ac:dyDescent="0.3">
      <c r="A60" s="900">
        <v>2.6</v>
      </c>
      <c r="B60" s="78"/>
      <c r="C60" s="78" t="str">
        <f>'CBS (Total)'!C58</f>
        <v>Consumables</v>
      </c>
      <c r="D60" s="78"/>
      <c r="E60" s="78"/>
      <c r="F60" s="78"/>
      <c r="G60" s="78"/>
      <c r="H60" s="78"/>
      <c r="I60" s="78"/>
      <c r="J60" s="523">
        <f>'CBS (Total)'!J58/'CBS ($ per kW)'!J$1</f>
        <v>5.3619302949061662</v>
      </c>
      <c r="K60" s="926">
        <f t="shared" si="7"/>
        <v>7.799537611781181E-5</v>
      </c>
      <c r="L60" s="523">
        <f>'CBS (Total)'!L58/'CBS ($ per kW)'!L$1</f>
        <v>5.3619302949061662</v>
      </c>
      <c r="M60" s="926">
        <f t="shared" si="8"/>
        <v>1.5473080799100752E-4</v>
      </c>
      <c r="N60" s="523">
        <f>'CBS (Total)'!N58/'CBS ($ per kW)'!N$1</f>
        <v>5.3619302949061662</v>
      </c>
      <c r="O60" s="926">
        <f t="shared" si="9"/>
        <v>2.2387972163960792E-4</v>
      </c>
      <c r="P60" s="523">
        <f>'CBS (Total)'!P58/'CBS ($ per kW)'!P$1</f>
        <v>5.3619302949061662</v>
      </c>
      <c r="Q60" s="902">
        <f t="shared" si="10"/>
        <v>2.4220808164419788E-4</v>
      </c>
    </row>
    <row r="61" spans="1:19" x14ac:dyDescent="0.3">
      <c r="I61" s="61"/>
      <c r="J61" s="135"/>
      <c r="K61" s="77"/>
      <c r="L61" s="135"/>
      <c r="M61" s="77"/>
      <c r="N61" s="135"/>
      <c r="O61" s="77"/>
      <c r="P61" s="134"/>
      <c r="Q61" s="61"/>
    </row>
    <row r="62" spans="1:19" s="59" customFormat="1" x14ac:dyDescent="0.3">
      <c r="A62" s="137" t="s">
        <v>182</v>
      </c>
      <c r="B62" s="138"/>
      <c r="C62" s="138"/>
      <c r="D62" s="138"/>
      <c r="E62" s="138"/>
      <c r="F62" s="138"/>
      <c r="G62" s="138"/>
      <c r="H62" s="138"/>
      <c r="I62" s="138"/>
      <c r="J62" s="139">
        <f>'CBS (Total)'!J60/'CBS ($ per kW)'!J$1</f>
        <v>4179.0998388215821</v>
      </c>
      <c r="K62" s="140">
        <f t="shared" ref="K62:Q62" si="11">SUM(K55:K60)</f>
        <v>6.0789761491757729E-2</v>
      </c>
      <c r="L62" s="139">
        <f>'CBS (Total)'!L60/'CBS ($ per kW)'!L$1</f>
        <v>1054.2946095671794</v>
      </c>
      <c r="M62" s="140">
        <f t="shared" si="11"/>
        <v>3.042409129299363E-2</v>
      </c>
      <c r="N62" s="139">
        <f>'CBS (Total)'!N60/'CBS ($ per kW)'!N$1</f>
        <v>329.73061641277098</v>
      </c>
      <c r="O62" s="140">
        <f t="shared" si="11"/>
        <v>1.3767429742359106E-2</v>
      </c>
      <c r="P62" s="141">
        <f>'CBS (Total)'!P60/'CBS ($ per kW)'!P$1</f>
        <v>184.77033570319986</v>
      </c>
      <c r="Q62" s="140">
        <f t="shared" si="11"/>
        <v>8.3464099855870381E-3</v>
      </c>
    </row>
    <row r="63" spans="1:19" x14ac:dyDescent="0.3">
      <c r="J63" s="3"/>
      <c r="K63" s="84"/>
      <c r="L63" s="3"/>
      <c r="M63" s="84"/>
      <c r="N63" s="3"/>
      <c r="O63" s="84"/>
      <c r="P63" s="3"/>
    </row>
    <row r="64" spans="1:19" x14ac:dyDescent="0.3">
      <c r="J64" s="61"/>
      <c r="K64" s="77"/>
      <c r="L64" s="61"/>
      <c r="M64" s="77"/>
      <c r="N64" s="61"/>
      <c r="O64" s="77"/>
      <c r="P64" s="61"/>
    </row>
    <row r="65" spans="1:16" ht="15" thickBot="1" x14ac:dyDescent="0.35">
      <c r="A65" s="792" t="s">
        <v>806</v>
      </c>
      <c r="B65" s="793"/>
      <c r="C65" s="793"/>
      <c r="D65" s="793"/>
      <c r="E65" s="793"/>
      <c r="F65" s="793"/>
      <c r="G65" s="793"/>
      <c r="H65" s="793"/>
      <c r="I65" s="793"/>
      <c r="J65" s="795">
        <f>'CBS (CoE)'!J64</f>
        <v>4.7892221203690966</v>
      </c>
      <c r="K65" s="795"/>
      <c r="L65" s="795">
        <f>'CBS (CoE)'!L64</f>
        <v>1.9799474731657751</v>
      </c>
      <c r="M65" s="795"/>
      <c r="N65" s="795">
        <f>'CBS (CoE)'!N64</f>
        <v>1.2038122685428698</v>
      </c>
      <c r="O65" s="795"/>
      <c r="P65" s="795">
        <f>'CBS (CoE)'!P64</f>
        <v>1.0632022343284886</v>
      </c>
    </row>
    <row r="66" spans="1:16" ht="15" thickTop="1" x14ac:dyDescent="0.3"/>
  </sheetData>
  <mergeCells count="1">
    <mergeCell ref="J3:P3"/>
  </mergeCells>
  <pageMargins left="0.7" right="0.7" top="0.75" bottom="0.75" header="0.3" footer="0.3"/>
  <pageSetup orientation="portrait" horizontalDpi="4294967293" verticalDpi="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AA73"/>
  <sheetViews>
    <sheetView tabSelected="1" zoomScale="70" zoomScaleNormal="70" zoomScalePageLayoutView="70" workbookViewId="0">
      <pane xSplit="8" ySplit="2" topLeftCell="I3" activePane="bottomRight" state="frozen"/>
      <selection pane="topRight" activeCell="I1" sqref="I1"/>
      <selection pane="bottomLeft" activeCell="A3" sqref="A3"/>
      <selection pane="bottomRight" activeCell="S50" sqref="S50"/>
    </sheetView>
  </sheetViews>
  <sheetFormatPr defaultColWidth="8.88671875" defaultRowHeight="14.4" outlineLevelRow="2" x14ac:dyDescent="0.3"/>
  <cols>
    <col min="1" max="1" width="8.44140625" style="1" customWidth="1"/>
    <col min="2" max="2" width="3.88671875" customWidth="1"/>
    <col min="3" max="4" width="4.109375" customWidth="1"/>
    <col min="8" max="8" width="20.33203125" customWidth="1"/>
    <col min="9" max="9" width="20.33203125" style="10" customWidth="1"/>
    <col min="10" max="10" width="20.33203125" bestFit="1" customWidth="1"/>
    <col min="11" max="11" width="10.109375" style="60" customWidth="1"/>
    <col min="12" max="12" width="21.5546875" bestFit="1" customWidth="1"/>
    <col min="13" max="13" width="10.109375" style="60" customWidth="1"/>
    <col min="14" max="14" width="22.6640625" bestFit="1" customWidth="1"/>
    <col min="15" max="15" width="11.44140625" style="60" customWidth="1"/>
    <col min="16" max="16" width="22.6640625" customWidth="1"/>
    <col min="17" max="17" width="11" customWidth="1"/>
    <col min="18" max="18" width="17.109375" bestFit="1" customWidth="1"/>
    <col min="19" max="19" width="16.88671875" bestFit="1" customWidth="1"/>
    <col min="20" max="20" width="19.109375" bestFit="1" customWidth="1"/>
    <col min="21" max="22" width="13.33203125" bestFit="1" customWidth="1"/>
    <col min="23" max="23" width="15" bestFit="1" customWidth="1"/>
    <col min="24" max="24" width="11.109375" bestFit="1" customWidth="1"/>
  </cols>
  <sheetData>
    <row r="1" spans="1:19" ht="15" x14ac:dyDescent="0.25">
      <c r="A1" s="2" t="s">
        <v>496</v>
      </c>
      <c r="I1" s="59"/>
      <c r="J1" s="998" t="s">
        <v>66</v>
      </c>
      <c r="K1" s="998"/>
      <c r="L1" s="998"/>
      <c r="M1" s="998"/>
      <c r="N1" s="998"/>
      <c r="O1" s="998"/>
      <c r="P1" s="998"/>
      <c r="Q1" s="59"/>
    </row>
    <row r="2" spans="1:19" ht="15" x14ac:dyDescent="0.25">
      <c r="I2" s="59" t="s">
        <v>111</v>
      </c>
      <c r="J2" s="59">
        <v>1</v>
      </c>
      <c r="K2" s="90" t="s">
        <v>146</v>
      </c>
      <c r="L2" s="59">
        <v>10</v>
      </c>
      <c r="M2" s="90" t="s">
        <v>146</v>
      </c>
      <c r="N2" s="59">
        <v>50</v>
      </c>
      <c r="O2" s="90" t="s">
        <v>147</v>
      </c>
      <c r="P2" s="59">
        <v>100</v>
      </c>
      <c r="Q2" s="90" t="s">
        <v>147</v>
      </c>
      <c r="R2" s="59"/>
      <c r="S2" s="71"/>
    </row>
    <row r="3" spans="1:19" s="59" customFormat="1" ht="15" x14ac:dyDescent="0.25">
      <c r="A3" s="71">
        <v>1</v>
      </c>
      <c r="B3" s="59" t="s">
        <v>0</v>
      </c>
      <c r="J3" s="85"/>
      <c r="K3" s="85"/>
      <c r="L3" s="85"/>
      <c r="M3" s="85"/>
      <c r="N3" s="85"/>
      <c r="O3" s="85"/>
      <c r="P3" s="85"/>
    </row>
    <row r="4" spans="1:19" s="59" customFormat="1" ht="15" x14ac:dyDescent="0.25">
      <c r="A4" s="927">
        <v>1.1000000000000001</v>
      </c>
      <c r="B4" s="928"/>
      <c r="C4" s="928" t="s">
        <v>100</v>
      </c>
      <c r="D4" s="928"/>
      <c r="E4" s="928"/>
      <c r="F4" s="928"/>
      <c r="G4" s="928"/>
      <c r="H4" s="928"/>
      <c r="I4" s="928"/>
      <c r="J4" s="929">
        <f>J5+J10+J11</f>
        <v>5205029.9153682599</v>
      </c>
      <c r="K4" s="930">
        <f t="shared" ref="K4:K46" si="0">J4/$J$50</f>
        <v>0.20298413297680482</v>
      </c>
      <c r="L4" s="929">
        <f>L5+L10+L11</f>
        <v>22990069.592403647</v>
      </c>
      <c r="M4" s="930">
        <f t="shared" ref="M4:M46" si="1">L4/$L$50</f>
        <v>0.17786360219010547</v>
      </c>
      <c r="N4" s="929">
        <f>N5+N10+N11</f>
        <v>31387064.799367517</v>
      </c>
      <c r="O4" s="930">
        <f t="shared" ref="O4:O46" si="2">N4/$N$50</f>
        <v>7.0269273303667362E-2</v>
      </c>
      <c r="P4" s="929">
        <f>P5+P10+P11</f>
        <v>30857430.744979247</v>
      </c>
      <c r="Q4" s="931">
        <f t="shared" ref="Q4:Q46" si="3">P4/$P$50</f>
        <v>3.7369595526050577E-2</v>
      </c>
      <c r="R4" s="108"/>
      <c r="S4" s="108"/>
    </row>
    <row r="5" spans="1:19" ht="15" outlineLevel="1" x14ac:dyDescent="0.25">
      <c r="A5" s="891" t="s">
        <v>2</v>
      </c>
      <c r="B5" s="492"/>
      <c r="C5" s="492"/>
      <c r="D5" s="492" t="s">
        <v>1</v>
      </c>
      <c r="E5" s="492"/>
      <c r="F5" s="492"/>
      <c r="G5" s="492"/>
      <c r="H5" s="492"/>
      <c r="I5" s="492"/>
      <c r="J5" s="892">
        <f>SUM(J6:J9)</f>
        <v>3901000</v>
      </c>
      <c r="K5" s="893">
        <f t="shared" si="0"/>
        <v>0.15212998111779194</v>
      </c>
      <c r="L5" s="892">
        <f>SUM(L6:L9)</f>
        <v>19273500</v>
      </c>
      <c r="M5" s="893">
        <f t="shared" si="1"/>
        <v>0.14911021139073416</v>
      </c>
      <c r="N5" s="892">
        <f>SUM(N6:N9)</f>
        <v>23131000</v>
      </c>
      <c r="O5" s="893">
        <f t="shared" si="2"/>
        <v>5.1785618412457705E-2</v>
      </c>
      <c r="P5" s="892">
        <f>SUM(P6:P9)</f>
        <v>23131000</v>
      </c>
      <c r="Q5" s="894">
        <f t="shared" si="3"/>
        <v>2.8012575682559705E-2</v>
      </c>
      <c r="R5" s="628"/>
    </row>
    <row r="6" spans="1:19" ht="15" outlineLevel="2" x14ac:dyDescent="0.25">
      <c r="A6" s="891" t="s">
        <v>101</v>
      </c>
      <c r="B6" s="492"/>
      <c r="C6" s="492"/>
      <c r="D6" s="492"/>
      <c r="E6" s="492" t="s">
        <v>3</v>
      </c>
      <c r="F6" s="492"/>
      <c r="G6" s="492"/>
      <c r="H6" s="492"/>
      <c r="I6" s="492"/>
      <c r="J6" s="487">
        <f>'1.1'!E5</f>
        <v>315000</v>
      </c>
      <c r="K6" s="893">
        <f t="shared" si="0"/>
        <v>1.228427173855536E-2</v>
      </c>
      <c r="L6" s="487">
        <f>'1.1'!F5</f>
        <v>430000</v>
      </c>
      <c r="M6" s="893">
        <f t="shared" si="1"/>
        <v>3.3267123718066617E-3</v>
      </c>
      <c r="N6" s="487">
        <f>'1.1'!G5</f>
        <v>430000</v>
      </c>
      <c r="O6" s="893">
        <f t="shared" si="2"/>
        <v>9.6268280305031404E-4</v>
      </c>
      <c r="P6" s="487">
        <f>'1.1'!H5</f>
        <v>430000</v>
      </c>
      <c r="Q6" s="895">
        <f t="shared" si="3"/>
        <v>5.2074737553502539E-4</v>
      </c>
      <c r="R6" s="628"/>
    </row>
    <row r="7" spans="1:19" ht="15" outlineLevel="2" x14ac:dyDescent="0.25">
      <c r="A7" s="891" t="s">
        <v>102</v>
      </c>
      <c r="B7" s="492"/>
      <c r="C7" s="492"/>
      <c r="D7" s="492"/>
      <c r="E7" s="492" t="s">
        <v>5</v>
      </c>
      <c r="F7" s="492"/>
      <c r="G7" s="492"/>
      <c r="H7" s="492"/>
      <c r="I7" s="492"/>
      <c r="J7" s="487">
        <f>'1.1'!E6</f>
        <v>1631000</v>
      </c>
      <c r="K7" s="893">
        <f t="shared" si="0"/>
        <v>6.3605229224075535E-2</v>
      </c>
      <c r="L7" s="487">
        <f>'1.1'!F6</f>
        <v>2566000</v>
      </c>
      <c r="M7" s="893">
        <f t="shared" si="1"/>
        <v>1.9851962665246265E-2</v>
      </c>
      <c r="N7" s="487">
        <f>'1.1'!G6</f>
        <v>3348500</v>
      </c>
      <c r="O7" s="893">
        <f t="shared" si="2"/>
        <v>7.4966124791022715E-3</v>
      </c>
      <c r="P7" s="487">
        <f>'1.1'!H6</f>
        <v>3348500</v>
      </c>
      <c r="Q7" s="895">
        <f t="shared" si="3"/>
        <v>4.0551688069279833E-3</v>
      </c>
      <c r="R7" s="628"/>
    </row>
    <row r="8" spans="1:19" ht="15" outlineLevel="2" x14ac:dyDescent="0.25">
      <c r="A8" s="891" t="s">
        <v>103</v>
      </c>
      <c r="B8" s="492"/>
      <c r="C8" s="492"/>
      <c r="D8" s="492"/>
      <c r="E8" s="492" t="s">
        <v>7</v>
      </c>
      <c r="F8" s="492"/>
      <c r="G8" s="492"/>
      <c r="H8" s="492"/>
      <c r="I8" s="492"/>
      <c r="J8" s="487">
        <f>'1.1'!E7</f>
        <v>855000</v>
      </c>
      <c r="K8" s="893">
        <f t="shared" si="0"/>
        <v>3.3343023290364551E-2</v>
      </c>
      <c r="L8" s="487">
        <f>'1.1'!F7</f>
        <v>14577500</v>
      </c>
      <c r="M8" s="893">
        <f t="shared" si="1"/>
        <v>0.1127794176744456</v>
      </c>
      <c r="N8" s="487">
        <f>'1.1'!G7</f>
        <v>17427500</v>
      </c>
      <c r="O8" s="893">
        <f t="shared" si="2"/>
        <v>3.9016638488742671E-2</v>
      </c>
      <c r="P8" s="487">
        <f>'1.1'!H7</f>
        <v>17427500</v>
      </c>
      <c r="Q8" s="895">
        <f t="shared" si="3"/>
        <v>2.1105406714271292E-2</v>
      </c>
      <c r="R8" s="628"/>
    </row>
    <row r="9" spans="1:19" ht="15" outlineLevel="2" x14ac:dyDescent="0.25">
      <c r="A9" s="891" t="s">
        <v>104</v>
      </c>
      <c r="B9" s="492"/>
      <c r="C9" s="492"/>
      <c r="D9" s="492"/>
      <c r="E9" s="492" t="s">
        <v>8</v>
      </c>
      <c r="F9" s="492"/>
      <c r="G9" s="492"/>
      <c r="H9" s="492"/>
      <c r="I9" s="492"/>
      <c r="J9" s="487">
        <f>'1.1'!E8</f>
        <v>1100000</v>
      </c>
      <c r="K9" s="893">
        <f t="shared" si="0"/>
        <v>4.2897456864796499E-2</v>
      </c>
      <c r="L9" s="487">
        <f>'1.1'!F8</f>
        <v>1700000</v>
      </c>
      <c r="M9" s="893">
        <f t="shared" si="1"/>
        <v>1.3152118679235639E-2</v>
      </c>
      <c r="N9" s="487">
        <f>'1.1'!G8</f>
        <v>1925000</v>
      </c>
      <c r="O9" s="893">
        <f t="shared" si="2"/>
        <v>4.3096846415624527E-3</v>
      </c>
      <c r="P9" s="487">
        <f>'1.1'!H8</f>
        <v>1925000</v>
      </c>
      <c r="Q9" s="895">
        <f t="shared" si="3"/>
        <v>2.3312527858254046E-3</v>
      </c>
      <c r="R9" s="628"/>
    </row>
    <row r="10" spans="1:19" s="10" customFormat="1" ht="15" outlineLevel="1" x14ac:dyDescent="0.25">
      <c r="A10" s="891" t="s">
        <v>4</v>
      </c>
      <c r="B10" s="492"/>
      <c r="C10" s="492"/>
      <c r="D10" s="492" t="s">
        <v>105</v>
      </c>
      <c r="E10" s="492"/>
      <c r="F10" s="492"/>
      <c r="G10" s="492"/>
      <c r="H10" s="492"/>
      <c r="I10" s="492"/>
      <c r="J10" s="487">
        <f>'1.1'!E9</f>
        <v>193963</v>
      </c>
      <c r="K10" s="893">
        <f t="shared" si="0"/>
        <v>7.5641085689695667E-3</v>
      </c>
      <c r="L10" s="487">
        <f>'1.1'!F9</f>
        <v>294061</v>
      </c>
      <c r="M10" s="893">
        <f t="shared" si="1"/>
        <v>2.2750148064321833E-3</v>
      </c>
      <c r="N10" s="487">
        <f>'1.1'!G9</f>
        <v>294061</v>
      </c>
      <c r="O10" s="893">
        <f t="shared" si="2"/>
        <v>6.583429482506474E-4</v>
      </c>
      <c r="P10" s="487">
        <f>'1.1'!H9</f>
        <v>294061</v>
      </c>
      <c r="Q10" s="895">
        <f t="shared" si="3"/>
        <v>3.5611975348187234E-4</v>
      </c>
    </row>
    <row r="11" spans="1:19" s="10" customFormat="1" ht="15" outlineLevel="1" x14ac:dyDescent="0.25">
      <c r="A11" s="900" t="s">
        <v>6</v>
      </c>
      <c r="B11" s="78"/>
      <c r="C11" s="78"/>
      <c r="D11" s="78" t="s">
        <v>161</v>
      </c>
      <c r="E11" s="78"/>
      <c r="F11" s="78"/>
      <c r="G11" s="78"/>
      <c r="H11" s="78"/>
      <c r="I11" s="78"/>
      <c r="J11" s="523">
        <f>'1.1'!E10</f>
        <v>1110066.9153682597</v>
      </c>
      <c r="K11" s="901">
        <f t="shared" si="0"/>
        <v>4.3290043290043295E-2</v>
      </c>
      <c r="L11" s="523">
        <f>'1.1'!F10</f>
        <v>3422508.5924036456</v>
      </c>
      <c r="M11" s="901">
        <f t="shared" si="1"/>
        <v>2.6478375992939094E-2</v>
      </c>
      <c r="N11" s="523">
        <f>'1.1'!G10</f>
        <v>7962003.7993675163</v>
      </c>
      <c r="O11" s="901">
        <f t="shared" si="2"/>
        <v>1.7825311942959002E-2</v>
      </c>
      <c r="P11" s="523">
        <f>'1.1'!H10</f>
        <v>7432369.7449792493</v>
      </c>
      <c r="Q11" s="902">
        <f t="shared" si="3"/>
        <v>9.0009000900090012E-3</v>
      </c>
      <c r="R11" s="628"/>
    </row>
    <row r="12" spans="1:19" s="59" customFormat="1" ht="15" x14ac:dyDescent="0.25">
      <c r="A12" s="927">
        <v>1.2</v>
      </c>
      <c r="B12" s="928"/>
      <c r="C12" s="928" t="s">
        <v>10</v>
      </c>
      <c r="D12" s="928"/>
      <c r="E12" s="928"/>
      <c r="F12" s="928"/>
      <c r="G12" s="928"/>
      <c r="H12" s="928"/>
      <c r="I12" s="928"/>
      <c r="J12" s="929">
        <f>SUM(J13:J17)</f>
        <v>1111000</v>
      </c>
      <c r="K12" s="930">
        <f t="shared" si="0"/>
        <v>4.3326431433444459E-2</v>
      </c>
      <c r="L12" s="929">
        <f>SUM(L13:L17)</f>
        <v>7850000</v>
      </c>
      <c r="M12" s="930">
        <f t="shared" si="1"/>
        <v>6.0731842136470454E-2</v>
      </c>
      <c r="N12" s="929">
        <f>SUM(N13:N17)</f>
        <v>16188000</v>
      </c>
      <c r="O12" s="930">
        <f t="shared" si="2"/>
        <v>3.624164933901973E-2</v>
      </c>
      <c r="P12" s="929">
        <f>SUM(P13:P17)</f>
        <v>35610000</v>
      </c>
      <c r="Q12" s="931">
        <f t="shared" si="3"/>
        <v>4.312514893674943E-2</v>
      </c>
    </row>
    <row r="13" spans="1:19" ht="15" outlineLevel="1" x14ac:dyDescent="0.25">
      <c r="A13" s="903" t="s">
        <v>9</v>
      </c>
      <c r="B13" s="904"/>
      <c r="C13" s="904"/>
      <c r="D13" s="904" t="str">
        <f>'1.2'!C4</f>
        <v>Subsea Cables</v>
      </c>
      <c r="E13" s="904"/>
      <c r="F13" s="904"/>
      <c r="G13" s="904"/>
      <c r="H13" s="904"/>
      <c r="I13" s="904"/>
      <c r="J13" s="905">
        <f>'1.2'!E4</f>
        <v>1010000</v>
      </c>
      <c r="K13" s="906">
        <f t="shared" si="0"/>
        <v>3.9387664939494964E-2</v>
      </c>
      <c r="L13" s="905">
        <f>'1.2'!F4</f>
        <v>2000000</v>
      </c>
      <c r="M13" s="906">
        <f t="shared" si="1"/>
        <v>1.5473080799100753E-2</v>
      </c>
      <c r="N13" s="905">
        <f>'1.2'!G4</f>
        <v>9580000</v>
      </c>
      <c r="O13" s="906">
        <f t="shared" si="2"/>
        <v>2.1447677333074438E-2</v>
      </c>
      <c r="P13" s="905">
        <f>'1.2'!H4</f>
        <v>22100000</v>
      </c>
      <c r="Q13" s="907">
        <f t="shared" si="3"/>
        <v>2.6763993021683866E-2</v>
      </c>
    </row>
    <row r="14" spans="1:19" ht="15" outlineLevel="1" x14ac:dyDescent="0.25">
      <c r="A14" s="891" t="s">
        <v>11</v>
      </c>
      <c r="B14" s="492"/>
      <c r="C14" s="492"/>
      <c r="D14" s="492" t="str">
        <f>'1.2'!C5</f>
        <v>Terminations and Connectors</v>
      </c>
      <c r="E14" s="492"/>
      <c r="F14" s="492"/>
      <c r="G14" s="492"/>
      <c r="H14" s="492"/>
      <c r="I14" s="492"/>
      <c r="J14" s="487">
        <f>'1.2'!E5</f>
        <v>101000</v>
      </c>
      <c r="K14" s="893">
        <f t="shared" si="0"/>
        <v>3.9387664939494966E-3</v>
      </c>
      <c r="L14" s="487">
        <f>'1.2'!F5</f>
        <v>200000</v>
      </c>
      <c r="M14" s="893">
        <f t="shared" si="1"/>
        <v>1.5473080799100751E-3</v>
      </c>
      <c r="N14" s="487">
        <f>'1.2'!G5</f>
        <v>958000</v>
      </c>
      <c r="O14" s="893">
        <f t="shared" si="2"/>
        <v>2.144767733307444E-3</v>
      </c>
      <c r="P14" s="487">
        <f>'1.2'!H5</f>
        <v>2210000</v>
      </c>
      <c r="Q14" s="896">
        <f t="shared" si="3"/>
        <v>2.6763993021683865E-3</v>
      </c>
    </row>
    <row r="15" spans="1:19" ht="15" outlineLevel="1" x14ac:dyDescent="0.25">
      <c r="A15" s="891" t="s">
        <v>13</v>
      </c>
      <c r="B15" s="492"/>
      <c r="C15" s="492"/>
      <c r="D15" s="492" t="str">
        <f>'1.2'!C6</f>
        <v>Dockside Improvements</v>
      </c>
      <c r="E15" s="492"/>
      <c r="F15" s="492"/>
      <c r="G15" s="492"/>
      <c r="H15" s="492"/>
      <c r="I15" s="492"/>
      <c r="J15" s="487">
        <f>'1.2'!E6</f>
        <v>0</v>
      </c>
      <c r="K15" s="893">
        <f t="shared" si="0"/>
        <v>0</v>
      </c>
      <c r="L15" s="487">
        <f>'1.2'!F6</f>
        <v>0</v>
      </c>
      <c r="M15" s="893">
        <f t="shared" si="1"/>
        <v>0</v>
      </c>
      <c r="N15" s="487">
        <f>'1.2'!G6</f>
        <v>0</v>
      </c>
      <c r="O15" s="893">
        <f t="shared" si="2"/>
        <v>0</v>
      </c>
      <c r="P15" s="487">
        <f>'1.2'!H6</f>
        <v>0</v>
      </c>
      <c r="Q15" s="895">
        <f t="shared" si="3"/>
        <v>0</v>
      </c>
    </row>
    <row r="16" spans="1:19" ht="15" outlineLevel="1" x14ac:dyDescent="0.25">
      <c r="A16" s="891" t="s">
        <v>15</v>
      </c>
      <c r="B16" s="492"/>
      <c r="C16" s="492"/>
      <c r="D16" s="492" t="str">
        <f>'1.2'!C7</f>
        <v>Dedicated O&amp;M Vessel</v>
      </c>
      <c r="E16" s="492"/>
      <c r="F16" s="492"/>
      <c r="G16" s="492"/>
      <c r="H16" s="492"/>
      <c r="I16" s="492"/>
      <c r="J16" s="487">
        <f>'1.2'!E7</f>
        <v>0</v>
      </c>
      <c r="K16" s="893">
        <f t="shared" si="0"/>
        <v>0</v>
      </c>
      <c r="L16" s="487">
        <f>'1.2'!F7</f>
        <v>5650000</v>
      </c>
      <c r="M16" s="893">
        <f t="shared" si="1"/>
        <v>4.3711453257459627E-2</v>
      </c>
      <c r="N16" s="487">
        <f>'1.2'!G7</f>
        <v>5650000</v>
      </c>
      <c r="O16" s="893">
        <f t="shared" si="2"/>
        <v>1.2649204272637847E-2</v>
      </c>
      <c r="P16" s="487">
        <f>'1.2'!H7</f>
        <v>11300000</v>
      </c>
      <c r="Q16" s="895">
        <f t="shared" si="3"/>
        <v>1.368475661289718E-2</v>
      </c>
    </row>
    <row r="17" spans="1:27" ht="15" outlineLevel="1" x14ac:dyDescent="0.25">
      <c r="A17" s="900" t="s">
        <v>16</v>
      </c>
      <c r="B17" s="78"/>
      <c r="C17" s="78"/>
      <c r="D17" s="78" t="str">
        <f>'1.2'!C8</f>
        <v>Other</v>
      </c>
      <c r="E17" s="78"/>
      <c r="F17" s="78"/>
      <c r="G17" s="78"/>
      <c r="H17" s="78"/>
      <c r="I17" s="78"/>
      <c r="J17" s="523">
        <f>'1.2'!E8</f>
        <v>0</v>
      </c>
      <c r="K17" s="901">
        <f t="shared" si="0"/>
        <v>0</v>
      </c>
      <c r="L17" s="523">
        <f>'1.2'!F8</f>
        <v>0</v>
      </c>
      <c r="M17" s="901">
        <f t="shared" si="1"/>
        <v>0</v>
      </c>
      <c r="N17" s="523">
        <f>'1.2'!G8</f>
        <v>0</v>
      </c>
      <c r="O17" s="901">
        <f t="shared" si="2"/>
        <v>0</v>
      </c>
      <c r="P17" s="523">
        <f>'1.2'!H8</f>
        <v>0</v>
      </c>
      <c r="Q17" s="902">
        <f t="shared" si="3"/>
        <v>0</v>
      </c>
      <c r="W17" s="45"/>
    </row>
    <row r="18" spans="1:27" s="59" customFormat="1" ht="15" x14ac:dyDescent="0.25">
      <c r="A18" s="927">
        <v>1.3</v>
      </c>
      <c r="B18" s="928"/>
      <c r="C18" s="928" t="s">
        <v>18</v>
      </c>
      <c r="D18" s="928"/>
      <c r="E18" s="928"/>
      <c r="F18" s="928"/>
      <c r="G18" s="928"/>
      <c r="H18" s="928"/>
      <c r="I18" s="928"/>
      <c r="J18" s="929">
        <f>SUM(J19:J23)</f>
        <v>835152.27415730339</v>
      </c>
      <c r="K18" s="930">
        <f t="shared" si="0"/>
        <v>3.256900786927238E-2</v>
      </c>
      <c r="L18" s="929">
        <f>SUM(L19:L23)</f>
        <v>7441596.4674157295</v>
      </c>
      <c r="M18" s="930">
        <f t="shared" si="1"/>
        <v>5.7572211707313158E-2</v>
      </c>
      <c r="N18" s="929">
        <f>SUM(N19:N23)</f>
        <v>36178982.337078653</v>
      </c>
      <c r="O18" s="930">
        <f t="shared" si="2"/>
        <v>8.0997404948294605E-2</v>
      </c>
      <c r="P18" s="929">
        <f>SUM(P19:P23)</f>
        <v>70299964.674157307</v>
      </c>
      <c r="Q18" s="931">
        <f t="shared" si="3"/>
        <v>8.5136097916912595E-2</v>
      </c>
      <c r="X18" s="611"/>
    </row>
    <row r="19" spans="1:27" ht="15" outlineLevel="1" x14ac:dyDescent="0.25">
      <c r="A19" s="903" t="s">
        <v>19</v>
      </c>
      <c r="B19" s="904"/>
      <c r="C19" s="904"/>
      <c r="D19" s="904" t="str">
        <f>'1.3 (RM3)'!C4</f>
        <v>Mooring lines/chain</v>
      </c>
      <c r="E19" s="904"/>
      <c r="F19" s="904"/>
      <c r="G19" s="904"/>
      <c r="H19" s="904"/>
      <c r="I19" s="904"/>
      <c r="J19" s="905">
        <f>'1.3'!E22</f>
        <v>548686.27415730339</v>
      </c>
      <c r="K19" s="906">
        <f t="shared" si="0"/>
        <v>2.1397496161789844E-2</v>
      </c>
      <c r="L19" s="905">
        <f>'1.3'!F22</f>
        <v>4938176.4674157295</v>
      </c>
      <c r="M19" s="906">
        <f t="shared" si="1"/>
        <v>3.8204401740270753E-2</v>
      </c>
      <c r="N19" s="905">
        <f>'1.3'!G22</f>
        <v>24690882.337078653</v>
      </c>
      <c r="O19" s="906">
        <f t="shared" si="2"/>
        <v>5.5277878646614806E-2</v>
      </c>
      <c r="P19" s="905">
        <f>'1.3'!H22</f>
        <v>49381764.674157307</v>
      </c>
      <c r="Q19" s="908">
        <f t="shared" si="3"/>
        <v>5.9803312449664296E-2</v>
      </c>
    </row>
    <row r="20" spans="1:27" ht="15" outlineLevel="1" x14ac:dyDescent="0.25">
      <c r="A20" s="891" t="s">
        <v>21</v>
      </c>
      <c r="B20" s="492"/>
      <c r="C20" s="492"/>
      <c r="D20" s="492" t="str">
        <f>'1.3 (RM3)'!C5</f>
        <v>Anchors</v>
      </c>
      <c r="E20" s="492"/>
      <c r="F20" s="492"/>
      <c r="G20" s="492"/>
      <c r="H20" s="492"/>
      <c r="I20" s="492"/>
      <c r="J20" s="487">
        <f>'1.3'!E30</f>
        <v>124166.00000000001</v>
      </c>
      <c r="K20" s="893">
        <f t="shared" si="0"/>
        <v>4.8421869355221112E-3</v>
      </c>
      <c r="L20" s="487">
        <f>'1.3'!F30</f>
        <v>1042720.0000000001</v>
      </c>
      <c r="M20" s="893">
        <f t="shared" si="1"/>
        <v>8.0670454054191688E-3</v>
      </c>
      <c r="N20" s="487">
        <f>'1.3'!G30</f>
        <v>4184600.0000000005</v>
      </c>
      <c r="O20" s="893">
        <f t="shared" si="2"/>
        <v>9.3684708317310333E-3</v>
      </c>
      <c r="P20" s="487">
        <f>'1.3'!H30</f>
        <v>6311200</v>
      </c>
      <c r="Q20" s="895">
        <f t="shared" si="3"/>
        <v>7.6431182243643083E-3</v>
      </c>
      <c r="R20" s="88"/>
    </row>
    <row r="21" spans="1:27" ht="15" outlineLevel="1" x14ac:dyDescent="0.25">
      <c r="A21" s="891" t="s">
        <v>23</v>
      </c>
      <c r="B21" s="492"/>
      <c r="C21" s="492"/>
      <c r="D21" s="492" t="str">
        <f>'1.3 (RM3)'!C6</f>
        <v>Buoyancy</v>
      </c>
      <c r="E21" s="492"/>
      <c r="F21" s="492"/>
      <c r="G21" s="492"/>
      <c r="H21" s="492"/>
      <c r="I21" s="492"/>
      <c r="J21" s="487">
        <f>'1.3'!E6</f>
        <v>60000</v>
      </c>
      <c r="K21" s="893">
        <f t="shared" si="0"/>
        <v>2.3398612835343544E-3</v>
      </c>
      <c r="L21" s="487">
        <f>'1.3'!F6</f>
        <v>540000</v>
      </c>
      <c r="M21" s="893">
        <f t="shared" si="1"/>
        <v>4.1777318157572027E-3</v>
      </c>
      <c r="N21" s="487">
        <f>'1.3'!G6</f>
        <v>2700000</v>
      </c>
      <c r="O21" s="893">
        <f t="shared" si="2"/>
        <v>6.0447524842694141E-3</v>
      </c>
      <c r="P21" s="487">
        <f>'1.3'!H6</f>
        <v>5400000</v>
      </c>
      <c r="Q21" s="895">
        <f t="shared" si="3"/>
        <v>6.539618204393343E-3</v>
      </c>
    </row>
    <row r="22" spans="1:27" ht="15" outlineLevel="1" x14ac:dyDescent="0.25">
      <c r="A22" s="891" t="s">
        <v>24</v>
      </c>
      <c r="B22" s="492"/>
      <c r="C22" s="492"/>
      <c r="D22" s="492" t="str">
        <f>'1.3 (RM3)'!C7</f>
        <v>Connecting Hardware (shackles etc.)</v>
      </c>
      <c r="E22" s="492"/>
      <c r="F22" s="492"/>
      <c r="G22" s="492"/>
      <c r="H22" s="492"/>
      <c r="I22" s="492"/>
      <c r="J22" s="487">
        <f>'1.3 (RM3)'!E7</f>
        <v>102300</v>
      </c>
      <c r="K22" s="893">
        <f t="shared" si="0"/>
        <v>3.9894634884260743E-3</v>
      </c>
      <c r="L22" s="487">
        <f>'1.3 (RM3)'!F7</f>
        <v>920700</v>
      </c>
      <c r="M22" s="893">
        <f t="shared" si="1"/>
        <v>7.1230327458660309E-3</v>
      </c>
      <c r="N22" s="487">
        <f>'1.3 (RM3)'!G7</f>
        <v>4603500</v>
      </c>
      <c r="O22" s="893">
        <f t="shared" si="2"/>
        <v>1.030630298567935E-2</v>
      </c>
      <c r="P22" s="487">
        <f>'1.3 (RM3)'!H7</f>
        <v>9207000</v>
      </c>
      <c r="Q22" s="895">
        <f t="shared" si="3"/>
        <v>1.1150049038490649E-2</v>
      </c>
      <c r="R22" s="383"/>
    </row>
    <row r="23" spans="1:27" ht="15" outlineLevel="1" x14ac:dyDescent="0.25">
      <c r="A23" s="909" t="s">
        <v>26</v>
      </c>
      <c r="B23" s="910"/>
      <c r="C23" s="910"/>
      <c r="D23" s="910" t="str">
        <f>'1.3 (RM3)'!C8</f>
        <v>Other</v>
      </c>
      <c r="E23" s="910"/>
      <c r="F23" s="910"/>
      <c r="G23" s="910"/>
      <c r="H23" s="910"/>
      <c r="I23" s="910"/>
      <c r="J23" s="911">
        <f>'1.3 (RM3)'!E8</f>
        <v>0</v>
      </c>
      <c r="K23" s="912">
        <f t="shared" si="0"/>
        <v>0</v>
      </c>
      <c r="L23" s="911">
        <f>'1.3 (RM3)'!F8</f>
        <v>0</v>
      </c>
      <c r="M23" s="912">
        <f t="shared" si="1"/>
        <v>0</v>
      </c>
      <c r="N23" s="911">
        <f>'1.3 (RM3)'!G8</f>
        <v>0</v>
      </c>
      <c r="O23" s="912">
        <f t="shared" si="2"/>
        <v>0</v>
      </c>
      <c r="P23" s="911">
        <f>'1.3 (RM3)'!H8</f>
        <v>0</v>
      </c>
      <c r="Q23" s="913">
        <f t="shared" si="3"/>
        <v>0</v>
      </c>
      <c r="R23" s="7"/>
      <c r="S23" s="7"/>
      <c r="T23" s="7"/>
      <c r="U23" s="7"/>
    </row>
    <row r="24" spans="1:27" s="59" customFormat="1" ht="15" x14ac:dyDescent="0.25">
      <c r="A24" s="927">
        <v>1.4</v>
      </c>
      <c r="B24" s="928"/>
      <c r="C24" s="928" t="s">
        <v>27</v>
      </c>
      <c r="D24" s="928"/>
      <c r="E24" s="928"/>
      <c r="F24" s="928"/>
      <c r="G24" s="928"/>
      <c r="H24" s="928"/>
      <c r="I24" s="932">
        <f>'1.4'!I9</f>
        <v>1796.7776257800001</v>
      </c>
      <c r="J24" s="933">
        <f>'1.4'!E9</f>
        <v>7682482.0945475465</v>
      </c>
      <c r="K24" s="930">
        <f t="shared" si="0"/>
        <v>0.2995990402412953</v>
      </c>
      <c r="L24" s="933">
        <f>'1.4'!F9</f>
        <v>54016525.763824143</v>
      </c>
      <c r="M24" s="930">
        <f t="shared" si="1"/>
        <v>0.41790103381517923</v>
      </c>
      <c r="N24" s="933">
        <f>'1.4'!G9</f>
        <v>239249924.7607359</v>
      </c>
      <c r="O24" s="930">
        <f t="shared" si="2"/>
        <v>0.53563206557730692</v>
      </c>
      <c r="P24" s="933">
        <f>'1.4'!H9</f>
        <v>464862307.34180164</v>
      </c>
      <c r="Q24" s="931">
        <f t="shared" si="3"/>
        <v>0.56296703844976648</v>
      </c>
      <c r="R24" s="88"/>
      <c r="S24" s="88"/>
      <c r="T24" s="88"/>
      <c r="U24" s="88"/>
      <c r="V24" s="89"/>
      <c r="W24" s="88"/>
      <c r="X24" s="88"/>
      <c r="Y24" s="88"/>
    </row>
    <row r="25" spans="1:27" s="5" customFormat="1" ht="15" outlineLevel="1" x14ac:dyDescent="0.25">
      <c r="A25" s="914" t="s">
        <v>28</v>
      </c>
      <c r="B25" s="915"/>
      <c r="C25" s="915"/>
      <c r="D25" s="915" t="str">
        <f>'1.4'!D4</f>
        <v>Backward Bent Duct Main Structure</v>
      </c>
      <c r="E25" s="915"/>
      <c r="F25" s="915"/>
      <c r="G25" s="915"/>
      <c r="H25" s="915"/>
      <c r="I25" s="916">
        <f>'1.4'!I4</f>
        <v>664.101</v>
      </c>
      <c r="J25" s="917">
        <f>'1.4'!E4</f>
        <v>2839496.6457000002</v>
      </c>
      <c r="K25" s="906">
        <f t="shared" si="0"/>
        <v>0.11073380443331828</v>
      </c>
      <c r="L25" s="917">
        <f>'1.4'!F4</f>
        <v>19964868.363000002</v>
      </c>
      <c r="M25" s="906">
        <f t="shared" si="1"/>
        <v>0.1544590106620547</v>
      </c>
      <c r="N25" s="917">
        <f>'1.4'!G4</f>
        <v>88428368.655000001</v>
      </c>
      <c r="O25" s="906">
        <f t="shared" si="2"/>
        <v>0.19797318559526031</v>
      </c>
      <c r="P25" s="917">
        <f>'1.4'!H4</f>
        <v>171816210.72</v>
      </c>
      <c r="Q25" s="918">
        <f t="shared" si="3"/>
        <v>0.20807637396933232</v>
      </c>
      <c r="R25" s="88"/>
      <c r="S25" s="9"/>
      <c r="T25" s="9"/>
      <c r="U25" s="9"/>
      <c r="V25" s="7"/>
      <c r="W25" s="7"/>
      <c r="X25" s="7"/>
      <c r="Y25" s="7"/>
      <c r="AA25" s="17"/>
    </row>
    <row r="26" spans="1:27" ht="15" outlineLevel="1" x14ac:dyDescent="0.25">
      <c r="A26" s="897" t="s">
        <v>29</v>
      </c>
      <c r="B26" s="414"/>
      <c r="C26" s="414"/>
      <c r="D26" s="414" t="str">
        <f>'1.4'!D5</f>
        <v>Stern Float</v>
      </c>
      <c r="E26" s="414"/>
      <c r="F26" s="414"/>
      <c r="G26" s="414"/>
      <c r="H26" s="414"/>
      <c r="I26" s="898">
        <f>'1.4'!I5</f>
        <v>109.63500000000001</v>
      </c>
      <c r="J26" s="892">
        <f>'1.4'!E5</f>
        <v>468766.36950000003</v>
      </c>
      <c r="K26" s="893">
        <f t="shared" si="0"/>
        <v>1.8280804650266824E-2</v>
      </c>
      <c r="L26" s="892">
        <f>'1.4'!F5</f>
        <v>3295957.0050000004</v>
      </c>
      <c r="M26" s="893">
        <f t="shared" si="1"/>
        <v>2.5499304524363563E-2</v>
      </c>
      <c r="N26" s="892">
        <f>'1.4'!G5</f>
        <v>14598448.425000001</v>
      </c>
      <c r="O26" s="893">
        <f t="shared" si="2"/>
        <v>3.2682965697591729E-2</v>
      </c>
      <c r="P26" s="892">
        <f>'1.4'!H5</f>
        <v>28364767.199999999</v>
      </c>
      <c r="Q26" s="894">
        <f t="shared" si="3"/>
        <v>3.4350879248981329E-2</v>
      </c>
      <c r="R26" s="88"/>
      <c r="S26" s="9"/>
      <c r="T26" s="9"/>
      <c r="U26" s="9"/>
      <c r="V26" s="7"/>
      <c r="W26" s="7"/>
      <c r="X26" s="7"/>
      <c r="Y26" s="7"/>
    </row>
    <row r="27" spans="1:27" ht="15" outlineLevel="1" x14ac:dyDescent="0.25">
      <c r="A27" s="897" t="s">
        <v>30</v>
      </c>
      <c r="B27" s="414"/>
      <c r="C27" s="414"/>
      <c r="D27" s="414" t="str">
        <f>'1.4'!D6</f>
        <v>Bow Float</v>
      </c>
      <c r="E27" s="414"/>
      <c r="F27" s="414"/>
      <c r="G27" s="414"/>
      <c r="H27" s="414"/>
      <c r="I27" s="898">
        <f>'1.4'!I6</f>
        <v>100.075</v>
      </c>
      <c r="J27" s="892">
        <f>'1.4'!E6</f>
        <v>427890.67749999999</v>
      </c>
      <c r="K27" s="893">
        <f t="shared" si="0"/>
        <v>1.6686747164458907E-2</v>
      </c>
      <c r="L27" s="892">
        <f>'1.4'!F6</f>
        <v>3008554.7250000001</v>
      </c>
      <c r="M27" s="893">
        <f t="shared" si="1"/>
        <v>2.3275805174220673E-2</v>
      </c>
      <c r="N27" s="892">
        <f>'1.4'!G6</f>
        <v>13325486.625</v>
      </c>
      <c r="O27" s="893">
        <f t="shared" si="2"/>
        <v>2.9833062363173183E-2</v>
      </c>
      <c r="P27" s="892">
        <f>'1.4'!H6</f>
        <v>25891404</v>
      </c>
      <c r="Q27" s="894">
        <f t="shared" si="3"/>
        <v>3.1355536469574556E-2</v>
      </c>
      <c r="R27" s="88"/>
      <c r="S27" s="9"/>
      <c r="T27" s="9"/>
      <c r="U27" s="9"/>
      <c r="V27" s="7"/>
      <c r="W27" s="7"/>
      <c r="X27" s="7"/>
      <c r="Y27" s="7"/>
    </row>
    <row r="28" spans="1:27" ht="15" outlineLevel="1" x14ac:dyDescent="0.25">
      <c r="A28" s="919" t="s">
        <v>31</v>
      </c>
      <c r="B28" s="102"/>
      <c r="C28" s="102"/>
      <c r="D28" s="102" t="str">
        <f>'1.4'!D7</f>
        <v>Girders and Structural Supports</v>
      </c>
      <c r="E28" s="102"/>
      <c r="F28" s="102"/>
      <c r="G28" s="102"/>
      <c r="H28" s="102"/>
      <c r="I28" s="920">
        <f>'1.4'!I7</f>
        <v>922.96662578000007</v>
      </c>
      <c r="J28" s="921">
        <f>'1.4'!E7</f>
        <v>3946328.401847546</v>
      </c>
      <c r="K28" s="901">
        <f t="shared" si="0"/>
        <v>0.15389768399325127</v>
      </c>
      <c r="L28" s="921">
        <f>'1.4'!F7</f>
        <v>27747145.67082414</v>
      </c>
      <c r="M28" s="901">
        <f t="shared" si="1"/>
        <v>0.21466691345454028</v>
      </c>
      <c r="N28" s="921">
        <f>'1.4'!G7</f>
        <v>122897621.0557359</v>
      </c>
      <c r="O28" s="901">
        <f t="shared" si="2"/>
        <v>0.27514285192128168</v>
      </c>
      <c r="P28" s="921">
        <f>'1.4'!H7</f>
        <v>238789925.42180163</v>
      </c>
      <c r="Q28" s="922">
        <f t="shared" si="3"/>
        <v>0.28918424876187826</v>
      </c>
      <c r="R28" s="88"/>
    </row>
    <row r="29" spans="1:27" s="59" customFormat="1" ht="15" x14ac:dyDescent="0.25">
      <c r="A29" s="927">
        <v>1.5</v>
      </c>
      <c r="B29" s="928"/>
      <c r="C29" s="928" t="s">
        <v>32</v>
      </c>
      <c r="D29" s="928"/>
      <c r="E29" s="928"/>
      <c r="F29" s="928"/>
      <c r="G29" s="928"/>
      <c r="H29" s="928"/>
      <c r="I29" s="932">
        <f>SUM(I30:I38)</f>
        <v>59.601935120125823</v>
      </c>
      <c r="J29" s="934">
        <f>SUM(J30:J38)</f>
        <v>1637245.8174596245</v>
      </c>
      <c r="K29" s="930">
        <f t="shared" si="0"/>
        <v>6.384880166503884E-2</v>
      </c>
      <c r="L29" s="934">
        <f>SUM(L30:L38)</f>
        <v>9749373.4396457672</v>
      </c>
      <c r="M29" s="930">
        <f t="shared" si="1"/>
        <v>7.5426421486122885E-2</v>
      </c>
      <c r="N29" s="934">
        <f>SUM(N30:N38)</f>
        <v>34183640.015190817</v>
      </c>
      <c r="O29" s="930">
        <f t="shared" si="2"/>
        <v>7.6530238112294827E-2</v>
      </c>
      <c r="P29" s="934">
        <f>SUM(P30:P38)</f>
        <v>58812563.720209397</v>
      </c>
      <c r="Q29" s="931">
        <f t="shared" si="3"/>
        <v>7.1224391176245336E-2</v>
      </c>
    </row>
    <row r="30" spans="1:27" ht="15" outlineLevel="1" x14ac:dyDescent="0.25">
      <c r="A30" s="903" t="s">
        <v>33</v>
      </c>
      <c r="B30" s="904"/>
      <c r="C30" s="904"/>
      <c r="D30" s="904" t="str">
        <f>'1.5'!E4</f>
        <v>Fabricated Circular Parts</v>
      </c>
      <c r="E30" s="904"/>
      <c r="F30" s="904"/>
      <c r="G30" s="904"/>
      <c r="H30" s="904"/>
      <c r="I30" s="923">
        <f>'1.5'!L4/1000</f>
        <v>45.322580346986072</v>
      </c>
      <c r="J30" s="905">
        <f>'1.5'!G4</f>
        <v>1224163.2773048244</v>
      </c>
      <c r="K30" s="906">
        <f t="shared" si="0"/>
        <v>4.7739537621501474E-2</v>
      </c>
      <c r="L30" s="905">
        <f>'1.5'!H4</f>
        <v>7134673.3379248921</v>
      </c>
      <c r="M30" s="906">
        <f t="shared" si="1"/>
        <v>5.5197688516450863E-2</v>
      </c>
      <c r="N30" s="905">
        <f>'1.5'!I4</f>
        <v>24460195.207527436</v>
      </c>
      <c r="O30" s="906">
        <f t="shared" si="2"/>
        <v>5.476141694311714E-2</v>
      </c>
      <c r="P30" s="905">
        <f>'1.5'!J4</f>
        <v>41582331.852796644</v>
      </c>
      <c r="Q30" s="908">
        <f t="shared" si="3"/>
        <v>5.0357884141791501E-2</v>
      </c>
      <c r="R30" s="88"/>
    </row>
    <row r="31" spans="1:27" ht="15" outlineLevel="1" x14ac:dyDescent="0.25">
      <c r="A31" s="891" t="s">
        <v>35</v>
      </c>
      <c r="B31" s="492"/>
      <c r="C31" s="492"/>
      <c r="D31" s="492" t="str">
        <f>'1.5'!E5</f>
        <v>Fabricated Rectangular Parts</v>
      </c>
      <c r="E31" s="492"/>
      <c r="F31" s="492"/>
      <c r="G31" s="492"/>
      <c r="H31" s="492"/>
      <c r="I31" s="899">
        <f>'1.5'!L5/1000</f>
        <v>8.1749446098003631</v>
      </c>
      <c r="J31" s="487">
        <f>'1.5'!G5</f>
        <v>231994.09015480007</v>
      </c>
      <c r="K31" s="893">
        <f t="shared" si="0"/>
        <v>9.0472331593665876E-3</v>
      </c>
      <c r="L31" s="487">
        <f>'1.5'!H5</f>
        <v>1352108.8896146</v>
      </c>
      <c r="M31" s="893">
        <f t="shared" si="1"/>
        <v>1.0460645049094552E-2</v>
      </c>
      <c r="N31" s="487">
        <f>'1.5'!I5</f>
        <v>4635509.6884401245</v>
      </c>
      <c r="O31" s="893">
        <f t="shared" si="2"/>
        <v>1.0377966187056806E-2</v>
      </c>
      <c r="P31" s="487">
        <f>'1.5'!J5</f>
        <v>7880366.4703482119</v>
      </c>
      <c r="Q31" s="895">
        <f t="shared" si="3"/>
        <v>9.543442227181495E-3</v>
      </c>
      <c r="R31" s="88"/>
    </row>
    <row r="32" spans="1:27" ht="15" outlineLevel="1" x14ac:dyDescent="0.25">
      <c r="A32" s="891" t="s">
        <v>36</v>
      </c>
      <c r="B32" s="492"/>
      <c r="C32" s="492"/>
      <c r="D32" s="492" t="str">
        <f>'1.5'!E6</f>
        <v>Ducting</v>
      </c>
      <c r="E32" s="492"/>
      <c r="F32" s="492"/>
      <c r="G32" s="492"/>
      <c r="H32" s="492"/>
      <c r="I32" s="899">
        <f>'1.5'!L6/1000</f>
        <v>2.5480943738656987</v>
      </c>
      <c r="J32" s="487">
        <f>'1.5'!G6</f>
        <v>5616.0000000000009</v>
      </c>
      <c r="K32" s="893">
        <f t="shared" si="0"/>
        <v>2.1901101613881562E-4</v>
      </c>
      <c r="L32" s="487">
        <f>'1.5'!H6</f>
        <v>47361.616587141041</v>
      </c>
      <c r="M32" s="893">
        <f t="shared" si="1"/>
        <v>3.6641506011443186E-4</v>
      </c>
      <c r="N32" s="487">
        <f>'1.5'!I6</f>
        <v>210219.17882622519</v>
      </c>
      <c r="O32" s="893">
        <f t="shared" si="2"/>
        <v>4.7063811238922255E-4</v>
      </c>
      <c r="P32" s="487">
        <f>'1.5'!J6</f>
        <v>399416.43976982782</v>
      </c>
      <c r="Q32" s="895">
        <f t="shared" si="3"/>
        <v>4.8370944826902653E-4</v>
      </c>
      <c r="R32" s="88"/>
    </row>
    <row r="33" spans="1:20" ht="15" outlineLevel="1" x14ac:dyDescent="0.25">
      <c r="A33" s="891" t="s">
        <v>37</v>
      </c>
      <c r="B33" s="492"/>
      <c r="C33" s="492"/>
      <c r="D33" s="492" t="str">
        <f>'1.5'!E7</f>
        <v>Rotor Blades</v>
      </c>
      <c r="E33" s="492"/>
      <c r="F33" s="492"/>
      <c r="G33" s="492"/>
      <c r="H33" s="492"/>
      <c r="I33" s="899">
        <f>'1.5'!L7/1000</f>
        <v>1.3008166969147006</v>
      </c>
      <c r="J33" s="487">
        <f>'1.5'!G7</f>
        <v>55017.73</v>
      </c>
      <c r="K33" s="893">
        <f t="shared" si="0"/>
        <v>2.1455642722491095E-3</v>
      </c>
      <c r="L33" s="487">
        <f>'1.5'!H7</f>
        <v>320654.55533707142</v>
      </c>
      <c r="M33" s="893">
        <f t="shared" si="1"/>
        <v>2.4807569216651146E-3</v>
      </c>
      <c r="N33" s="487">
        <f>'1.5'!I7</f>
        <v>1099317.7467616028</v>
      </c>
      <c r="O33" s="893">
        <f t="shared" si="2"/>
        <v>2.4611495113846865E-3</v>
      </c>
      <c r="P33" s="487">
        <f>'1.5'!J7</f>
        <v>1868840.1694947246</v>
      </c>
      <c r="Q33" s="895">
        <f t="shared" si="3"/>
        <v>2.2632409617646741E-3</v>
      </c>
      <c r="R33" s="88"/>
    </row>
    <row r="34" spans="1:20" ht="15" outlineLevel="1" x14ac:dyDescent="0.25">
      <c r="A34" s="891" t="s">
        <v>40</v>
      </c>
      <c r="B34" s="492"/>
      <c r="C34" s="492"/>
      <c r="D34" s="492" t="str">
        <f>'1.5'!E8</f>
        <v>Bearings</v>
      </c>
      <c r="E34" s="492"/>
      <c r="F34" s="492"/>
      <c r="G34" s="492"/>
      <c r="H34" s="492"/>
      <c r="I34" s="899">
        <f>'1.5'!L8/1000</f>
        <v>9.8058076225045365E-2</v>
      </c>
      <c r="J34" s="487">
        <f>'1.5'!G8</f>
        <v>32054.720000000001</v>
      </c>
      <c r="K34" s="893">
        <f t="shared" si="0"/>
        <v>1.2500599713755724E-3</v>
      </c>
      <c r="L34" s="487">
        <f>'1.5'!H8</f>
        <v>277602.01831181312</v>
      </c>
      <c r="M34" s="893">
        <f t="shared" si="1"/>
        <v>2.1476792296660657E-3</v>
      </c>
      <c r="N34" s="487">
        <f>'1.5'!I8</f>
        <v>1255244.7367305805</v>
      </c>
      <c r="O34" s="893">
        <f t="shared" si="2"/>
        <v>2.8102384224882528E-3</v>
      </c>
      <c r="P34" s="487">
        <f>'1.5'!J8</f>
        <v>2404103.9999972624</v>
      </c>
      <c r="Q34" s="895">
        <f t="shared" si="3"/>
        <v>2.9114670895623979E-3</v>
      </c>
      <c r="R34" s="88"/>
    </row>
    <row r="35" spans="1:20" outlineLevel="1" x14ac:dyDescent="0.3">
      <c r="A35" s="891" t="s">
        <v>42</v>
      </c>
      <c r="B35" s="492"/>
      <c r="C35" s="492"/>
      <c r="D35" s="492" t="str">
        <f>'1.5'!E9</f>
        <v>Flex Coupling</v>
      </c>
      <c r="E35" s="492"/>
      <c r="F35" s="492"/>
      <c r="G35" s="492"/>
      <c r="H35" s="492"/>
      <c r="I35" s="899">
        <f>'1.5'!L9/1000</f>
        <v>7.7132486388384755E-2</v>
      </c>
      <c r="J35" s="487">
        <f>'1.5'!G9</f>
        <v>1400</v>
      </c>
      <c r="K35" s="893">
        <f t="shared" si="0"/>
        <v>5.4596763282468267E-5</v>
      </c>
      <c r="L35" s="487">
        <f>'1.5'!H9</f>
        <v>11806.670801637722</v>
      </c>
      <c r="M35" s="893">
        <f t="shared" si="1"/>
        <v>9.1342785641062061E-5</v>
      </c>
      <c r="N35" s="487">
        <f>'1.5'!I9</f>
        <v>52405.065946708557</v>
      </c>
      <c r="O35" s="893">
        <f t="shared" si="2"/>
        <v>1.1732431576654407E-4</v>
      </c>
      <c r="P35" s="487">
        <f>'1.5'!J9</f>
        <v>99569.62529874625</v>
      </c>
      <c r="Q35" s="895">
        <f t="shared" si="3"/>
        <v>1.2058283966820461E-4</v>
      </c>
      <c r="R35" s="88"/>
    </row>
    <row r="36" spans="1:20" outlineLevel="1" x14ac:dyDescent="0.3">
      <c r="A36" s="891" t="s">
        <v>44</v>
      </c>
      <c r="B36" s="492"/>
      <c r="C36" s="492"/>
      <c r="D36" s="492" t="str">
        <f>'1.5'!E10</f>
        <v>Generator</v>
      </c>
      <c r="E36" s="492"/>
      <c r="F36" s="492"/>
      <c r="G36" s="492"/>
      <c r="H36" s="492"/>
      <c r="I36" s="899">
        <f>'1.5'!L10/1000</f>
        <v>1.1274954627949183</v>
      </c>
      <c r="J36" s="487">
        <f>'1.5'!G10</f>
        <v>35000</v>
      </c>
      <c r="K36" s="893">
        <f t="shared" si="0"/>
        <v>1.3649190820617069E-3</v>
      </c>
      <c r="L36" s="487">
        <f>'1.5'!H10</f>
        <v>308798.90206495952</v>
      </c>
      <c r="M36" s="893">
        <f t="shared" si="1"/>
        <v>2.3890351811623593E-3</v>
      </c>
      <c r="N36" s="487">
        <f>'1.5'!I10</f>
        <v>1414578.8742994284</v>
      </c>
      <c r="O36" s="893">
        <f t="shared" si="2"/>
        <v>3.1669552461542597E-3</v>
      </c>
      <c r="P36" s="487">
        <f>'1.5'!J10</f>
        <v>2724478.9119006987</v>
      </c>
      <c r="Q36" s="895">
        <f t="shared" si="3"/>
        <v>3.2994540536576992E-3</v>
      </c>
      <c r="R36" s="88"/>
    </row>
    <row r="37" spans="1:20" outlineLevel="1" x14ac:dyDescent="0.3">
      <c r="A37" s="891" t="s">
        <v>46</v>
      </c>
      <c r="B37" s="492"/>
      <c r="C37" s="492"/>
      <c r="D37" s="492" t="str">
        <f>'1.5'!E11</f>
        <v>Power Electronics</v>
      </c>
      <c r="E37" s="492"/>
      <c r="F37" s="492"/>
      <c r="G37" s="492"/>
      <c r="H37" s="492"/>
      <c r="I37" s="899">
        <f>'1.5'!L11/1000</f>
        <v>0.95281306715063507</v>
      </c>
      <c r="J37" s="487">
        <f>'1.5'!G11</f>
        <v>40000</v>
      </c>
      <c r="K37" s="893">
        <f t="shared" si="0"/>
        <v>1.5599075223562363E-3</v>
      </c>
      <c r="L37" s="487">
        <f>'1.5'!H11</f>
        <v>189025.60767161063</v>
      </c>
      <c r="M37" s="893">
        <f t="shared" si="1"/>
        <v>1.4624042503009751E-3</v>
      </c>
      <c r="N37" s="487">
        <f>'1.5'!I11</f>
        <v>559691.10832740704</v>
      </c>
      <c r="O37" s="893">
        <f t="shared" si="2"/>
        <v>1.2530348953650352E-3</v>
      </c>
      <c r="P37" s="487">
        <f>'1.5'!J11</f>
        <v>893267.00889054174</v>
      </c>
      <c r="Q37" s="895">
        <f t="shared" si="3"/>
        <v>1.0817824430971437E-3</v>
      </c>
      <c r="R37" s="88"/>
    </row>
    <row r="38" spans="1:20" outlineLevel="1" x14ac:dyDescent="0.3">
      <c r="A38" s="900" t="s">
        <v>61</v>
      </c>
      <c r="B38" s="78"/>
      <c r="C38" s="78"/>
      <c r="D38" s="78" t="str">
        <f>'1.5'!E12</f>
        <v>Mechanical Face Seal</v>
      </c>
      <c r="E38" s="78"/>
      <c r="F38" s="78"/>
      <c r="G38" s="78"/>
      <c r="H38" s="78"/>
      <c r="I38" s="924">
        <f>'1.5'!L12/1000</f>
        <v>0</v>
      </c>
      <c r="J38" s="523">
        <f>'1.5'!G12</f>
        <v>12000</v>
      </c>
      <c r="K38" s="901">
        <f t="shared" si="0"/>
        <v>4.6797225670687086E-4</v>
      </c>
      <c r="L38" s="523">
        <f>'1.5'!H12</f>
        <v>107341.84133204038</v>
      </c>
      <c r="M38" s="901">
        <f t="shared" si="1"/>
        <v>8.3045449202745676E-4</v>
      </c>
      <c r="N38" s="523">
        <f>'1.5'!I12</f>
        <v>496478.40833130537</v>
      </c>
      <c r="O38" s="901">
        <f t="shared" si="2"/>
        <v>1.1115144785728824E-3</v>
      </c>
      <c r="P38" s="523">
        <f>'1.5'!J12</f>
        <v>960189.24171274446</v>
      </c>
      <c r="Q38" s="902">
        <f t="shared" si="3"/>
        <v>1.1628279712532043E-3</v>
      </c>
      <c r="R38" s="88"/>
    </row>
    <row r="39" spans="1:20" s="59" customFormat="1" x14ac:dyDescent="0.3">
      <c r="A39" s="927">
        <v>1.6</v>
      </c>
      <c r="B39" s="928"/>
      <c r="C39" s="928" t="s">
        <v>72</v>
      </c>
      <c r="D39" s="928"/>
      <c r="E39" s="928"/>
      <c r="F39" s="928"/>
      <c r="G39" s="928"/>
      <c r="H39" s="928"/>
      <c r="I39" s="928"/>
      <c r="J39" s="935">
        <f>'1.6'!E7</f>
        <v>931972.79120071721</v>
      </c>
      <c r="K39" s="930">
        <f t="shared" si="0"/>
        <v>3.6344784190633417E-2</v>
      </c>
      <c r="L39" s="935">
        <f>'1.6'!F7</f>
        <v>6376589.9203469912</v>
      </c>
      <c r="M39" s="930">
        <f t="shared" si="1"/>
        <v>4.9332745530130215E-2</v>
      </c>
      <c r="N39" s="935">
        <f>'1.6'!G7</f>
        <v>27343356.477592673</v>
      </c>
      <c r="O39" s="930">
        <f t="shared" si="2"/>
        <v>6.1216230368960178E-2</v>
      </c>
      <c r="P39" s="935">
        <f>'1.6'!H7</f>
        <v>52367487.106201112</v>
      </c>
      <c r="Q39" s="931">
        <f t="shared" si="3"/>
        <v>6.3419142962601191E-2</v>
      </c>
    </row>
    <row r="40" spans="1:20" s="59" customFormat="1" x14ac:dyDescent="0.3">
      <c r="A40" s="927">
        <v>1.7</v>
      </c>
      <c r="B40" s="928"/>
      <c r="C40" s="928" t="s">
        <v>47</v>
      </c>
      <c r="D40" s="928"/>
      <c r="E40" s="928"/>
      <c r="F40" s="928"/>
      <c r="G40" s="928"/>
      <c r="H40" s="928"/>
      <c r="I40" s="928"/>
      <c r="J40" s="929">
        <f>SUM(J41:J46)</f>
        <v>5908522.3300000001</v>
      </c>
      <c r="K40" s="930">
        <f t="shared" si="0"/>
        <v>0.23041871071441991</v>
      </c>
      <c r="L40" s="929">
        <f>SUM(L41:L46)</f>
        <v>9081973.1555555556</v>
      </c>
      <c r="M40" s="930">
        <f t="shared" si="1"/>
        <v>7.0263052225587569E-2</v>
      </c>
      <c r="N40" s="929">
        <f>SUM(N41:N46)</f>
        <v>21531225.377777778</v>
      </c>
      <c r="O40" s="930">
        <f t="shared" si="2"/>
        <v>4.8204047441365507E-2</v>
      </c>
      <c r="P40" s="929">
        <f>SUM(P41:P46)</f>
        <v>37859590.655555554</v>
      </c>
      <c r="Q40" s="931">
        <f t="shared" si="3"/>
        <v>4.5849494122583552E-2</v>
      </c>
    </row>
    <row r="41" spans="1:20" outlineLevel="1" x14ac:dyDescent="0.3">
      <c r="A41" s="903" t="s">
        <v>73</v>
      </c>
      <c r="B41" s="904"/>
      <c r="C41" s="904"/>
      <c r="D41" s="904" t="str">
        <f>'1.7 (RM3)'!D5</f>
        <v>Transport to Staging Site</v>
      </c>
      <c r="E41" s="904"/>
      <c r="F41" s="904"/>
      <c r="G41" s="904"/>
      <c r="H41" s="904"/>
      <c r="I41" s="904"/>
      <c r="J41" s="905">
        <f>'1.7 (RM3)'!F5</f>
        <v>29750</v>
      </c>
      <c r="K41" s="906">
        <f t="shared" si="0"/>
        <v>1.1601812197524508E-3</v>
      </c>
      <c r="L41" s="905">
        <f>'1.7 (RM3)'!G5</f>
        <v>297500</v>
      </c>
      <c r="M41" s="906">
        <f t="shared" si="1"/>
        <v>2.3016207688662371E-3</v>
      </c>
      <c r="N41" s="905">
        <f>'1.7 (RM3)'!H5</f>
        <v>1487500</v>
      </c>
      <c r="O41" s="906">
        <f t="shared" si="2"/>
        <v>3.3302108593891676E-3</v>
      </c>
      <c r="P41" s="905">
        <f>'1.7 (RM3)'!I5</f>
        <v>2975000</v>
      </c>
      <c r="Q41" s="908">
        <f t="shared" si="3"/>
        <v>3.6028452144574435E-3</v>
      </c>
    </row>
    <row r="42" spans="1:20" outlineLevel="1" x14ac:dyDescent="0.3">
      <c r="A42" s="891" t="s">
        <v>74</v>
      </c>
      <c r="B42" s="492"/>
      <c r="C42" s="492"/>
      <c r="D42" s="492" t="str">
        <f>'1.7 (RM3)'!D6</f>
        <v>Cable Shore Landing</v>
      </c>
      <c r="E42" s="492"/>
      <c r="F42" s="492"/>
      <c r="G42" s="492"/>
      <c r="H42" s="492"/>
      <c r="I42" s="492"/>
      <c r="J42" s="487">
        <f>'1.7 (RM3)'!F6</f>
        <v>667000</v>
      </c>
      <c r="K42" s="893">
        <f t="shared" si="0"/>
        <v>2.6011457935290239E-2</v>
      </c>
      <c r="L42" s="487">
        <f>'1.7 (RM3)'!G6</f>
        <v>767200</v>
      </c>
      <c r="M42" s="893">
        <f t="shared" si="1"/>
        <v>5.9354737945350481E-3</v>
      </c>
      <c r="N42" s="487">
        <f>'1.7 (RM3)'!H6</f>
        <v>767200</v>
      </c>
      <c r="O42" s="893">
        <f t="shared" si="2"/>
        <v>1.717605224419072E-3</v>
      </c>
      <c r="P42" s="487">
        <f>'1.7 (RM3)'!I6</f>
        <v>1534000</v>
      </c>
      <c r="Q42" s="895">
        <f t="shared" si="3"/>
        <v>1.8577359862109977E-3</v>
      </c>
    </row>
    <row r="43" spans="1:20" outlineLevel="1" x14ac:dyDescent="0.3">
      <c r="A43" s="891" t="s">
        <v>75</v>
      </c>
      <c r="B43" s="492"/>
      <c r="C43" s="492"/>
      <c r="D43" s="492" t="str">
        <f>'1.7 (RM3)'!D7</f>
        <v>Mooring/Foundation System</v>
      </c>
      <c r="E43" s="492"/>
      <c r="F43" s="492"/>
      <c r="G43" s="492"/>
      <c r="H43" s="492"/>
      <c r="I43" s="492"/>
      <c r="J43" s="487">
        <f>'1.7 (RM3)'!F7</f>
        <v>3193833.5500000003</v>
      </c>
      <c r="K43" s="893">
        <f t="shared" si="0"/>
        <v>0.12455212449496807</v>
      </c>
      <c r="L43" s="487">
        <f>'1.7 (RM3)'!G7</f>
        <v>3904558.5555555555</v>
      </c>
      <c r="M43" s="893">
        <f t="shared" si="1"/>
        <v>3.0207775007465618E-2</v>
      </c>
      <c r="N43" s="487">
        <f>'1.7 (RM3)'!H7</f>
        <v>7063960.777777778</v>
      </c>
      <c r="O43" s="893">
        <f t="shared" si="2"/>
        <v>1.5814775726019973E-2</v>
      </c>
      <c r="P43" s="487">
        <f>'1.7 (RM3)'!I7</f>
        <v>11013213.555555556</v>
      </c>
      <c r="Q43" s="895">
        <f t="shared" si="3"/>
        <v>1.3337446640144935E-2</v>
      </c>
    </row>
    <row r="44" spans="1:20" outlineLevel="1" x14ac:dyDescent="0.3">
      <c r="A44" s="891" t="s">
        <v>76</v>
      </c>
      <c r="B44" s="492"/>
      <c r="C44" s="492"/>
      <c r="D44" s="492" t="str">
        <f>'1.7 (RM3)'!D8</f>
        <v>Cable Installation</v>
      </c>
      <c r="E44" s="492"/>
      <c r="F44" s="492"/>
      <c r="G44" s="492"/>
      <c r="H44" s="492"/>
      <c r="I44" s="492"/>
      <c r="J44" s="487">
        <f>'1.7 (RM3)'!F8</f>
        <v>1507533.78</v>
      </c>
      <c r="K44" s="893">
        <f t="shared" si="0"/>
        <v>5.8790332090703286E-2</v>
      </c>
      <c r="L44" s="487">
        <f>'1.7 (RM3)'!G8</f>
        <v>2280164.6</v>
      </c>
      <c r="M44" s="893">
        <f t="shared" si="1"/>
        <v>1.7640585545524626E-2</v>
      </c>
      <c r="N44" s="487">
        <f>'1.7 (RM3)'!H8</f>
        <v>4503814.5999999996</v>
      </c>
      <c r="O44" s="893">
        <f t="shared" si="2"/>
        <v>1.008312758964402E-2</v>
      </c>
      <c r="P44" s="487">
        <f>'1.7 (RM3)'!I8</f>
        <v>7283377.0999999996</v>
      </c>
      <c r="Q44" s="895">
        <f t="shared" si="3"/>
        <v>8.8204639764114055E-3</v>
      </c>
    </row>
    <row r="45" spans="1:20" outlineLevel="1" x14ac:dyDescent="0.3">
      <c r="A45" s="891" t="s">
        <v>77</v>
      </c>
      <c r="B45" s="492"/>
      <c r="C45" s="492"/>
      <c r="D45" s="492" t="str">
        <f>'1.7 (RM3)'!D9</f>
        <v>Device Installation</v>
      </c>
      <c r="E45" s="492"/>
      <c r="F45" s="492"/>
      <c r="G45" s="492"/>
      <c r="H45" s="492"/>
      <c r="I45" s="492"/>
      <c r="J45" s="487">
        <f>'1.7 (RM3)'!F9</f>
        <v>255202.5</v>
      </c>
      <c r="K45" s="893">
        <f t="shared" si="0"/>
        <v>9.9523074868529352E-3</v>
      </c>
      <c r="L45" s="487">
        <f>'1.7 (RM3)'!G9</f>
        <v>916275</v>
      </c>
      <c r="M45" s="893">
        <f t="shared" si="1"/>
        <v>7.0887985545980206E-3</v>
      </c>
      <c r="N45" s="487">
        <f>'1.7 (RM3)'!H9</f>
        <v>3854375</v>
      </c>
      <c r="O45" s="893">
        <f t="shared" si="2"/>
        <v>8.6291640209466385E-3</v>
      </c>
      <c r="P45" s="487">
        <f>'1.7 (RM3)'!I9</f>
        <v>7527000</v>
      </c>
      <c r="Q45" s="895">
        <f t="shared" si="3"/>
        <v>9.1155011526793863E-3</v>
      </c>
    </row>
    <row r="46" spans="1:20" outlineLevel="1" x14ac:dyDescent="0.3">
      <c r="A46" s="900" t="s">
        <v>78</v>
      </c>
      <c r="B46" s="78"/>
      <c r="C46" s="78"/>
      <c r="D46" s="78" t="str">
        <f>'1.7 (RM3)'!D10</f>
        <v>Device Comissioning</v>
      </c>
      <c r="E46" s="78"/>
      <c r="F46" s="78"/>
      <c r="G46" s="78"/>
      <c r="H46" s="78"/>
      <c r="I46" s="78"/>
      <c r="J46" s="523">
        <f>'1.7 (RM3)'!F10</f>
        <v>255202.5</v>
      </c>
      <c r="K46" s="901">
        <f t="shared" si="0"/>
        <v>9.9523074868529352E-3</v>
      </c>
      <c r="L46" s="523">
        <f>'1.7 (RM3)'!G10</f>
        <v>916275</v>
      </c>
      <c r="M46" s="901">
        <f t="shared" si="1"/>
        <v>7.0887985545980206E-3</v>
      </c>
      <c r="N46" s="523">
        <f>'1.7 (RM3)'!H10</f>
        <v>3854375</v>
      </c>
      <c r="O46" s="901">
        <f t="shared" si="2"/>
        <v>8.6291640209466385E-3</v>
      </c>
      <c r="P46" s="523">
        <f>'1.7 (RM3)'!I10</f>
        <v>7527000</v>
      </c>
      <c r="Q46" s="902">
        <f t="shared" si="3"/>
        <v>9.1155011526793863E-3</v>
      </c>
    </row>
    <row r="47" spans="1:20" s="77" customFormat="1" x14ac:dyDescent="0.3">
      <c r="A47" s="936">
        <v>1.8</v>
      </c>
      <c r="B47" s="937"/>
      <c r="C47" s="938" t="s">
        <v>145</v>
      </c>
      <c r="D47" s="937"/>
      <c r="E47" s="937"/>
      <c r="F47" s="937"/>
      <c r="G47" s="937"/>
      <c r="H47" s="937"/>
      <c r="I47" s="937"/>
      <c r="J47" s="939">
        <f>J40</f>
        <v>5908522.3300000001</v>
      </c>
      <c r="K47" s="940">
        <f>10%*(K40+K39+K29+K24+K18+K12+K5)</f>
        <v>8.5823675723189649E-2</v>
      </c>
      <c r="L47" s="939">
        <f>L40</f>
        <v>9081973.1555555556</v>
      </c>
      <c r="M47" s="940">
        <f>10%*(M40+M39+M29+M24+M18+M12+M5)</f>
        <v>8.8033751829153767E-2</v>
      </c>
      <c r="N47" s="939">
        <f>N40</f>
        <v>21531225.377777778</v>
      </c>
      <c r="O47" s="940">
        <f>10%*(O40+O39+O29+O24+O18+O12+O5)</f>
        <v>8.9060725419969955E-2</v>
      </c>
      <c r="P47" s="939">
        <f>P40</f>
        <v>37859590.655555554</v>
      </c>
      <c r="Q47" s="941">
        <f>10%*(Q40+Q39+Q29+Q24+Q18+Q12+Q5)</f>
        <v>8.9973388924741826E-2</v>
      </c>
      <c r="R47" s="80"/>
    </row>
    <row r="48" spans="1:20" s="80" customFormat="1" x14ac:dyDescent="0.3">
      <c r="A48" s="942">
        <v>1.9</v>
      </c>
      <c r="B48" s="928"/>
      <c r="C48" s="928" t="s">
        <v>143</v>
      </c>
      <c r="D48" s="928"/>
      <c r="E48" s="928"/>
      <c r="F48" s="928"/>
      <c r="G48" s="928"/>
      <c r="H48" s="928"/>
      <c r="I48" s="928"/>
      <c r="J48" s="943">
        <f t="shared" ref="J48:Q48" si="4">10%*(J40+J39+J29+J24+J18+J12+J4)</f>
        <v>2331140.5222733454</v>
      </c>
      <c r="K48" s="944">
        <f t="shared" si="4"/>
        <v>9.0909090909090939E-2</v>
      </c>
      <c r="L48" s="943">
        <f t="shared" si="4"/>
        <v>11750612.833919184</v>
      </c>
      <c r="M48" s="944">
        <f t="shared" si="4"/>
        <v>9.0909090909090898E-2</v>
      </c>
      <c r="N48" s="943">
        <f t="shared" si="4"/>
        <v>40606219.376774341</v>
      </c>
      <c r="O48" s="944">
        <f t="shared" si="4"/>
        <v>9.0909090909090939E-2</v>
      </c>
      <c r="P48" s="943">
        <f t="shared" si="4"/>
        <v>75066934.424290419</v>
      </c>
      <c r="Q48" s="945">
        <f t="shared" si="4"/>
        <v>9.0909090909090925E-2</v>
      </c>
      <c r="T48" s="776"/>
    </row>
    <row r="49" spans="1:19" s="70" customFormat="1" outlineLevel="1" x14ac:dyDescent="0.3">
      <c r="A49" s="422"/>
      <c r="B49" s="491"/>
      <c r="C49" s="491"/>
      <c r="D49" s="491"/>
      <c r="E49" s="491"/>
      <c r="F49" s="491"/>
      <c r="G49" s="491"/>
      <c r="H49" s="491"/>
      <c r="I49" s="491"/>
      <c r="J49" s="491"/>
      <c r="K49" s="77"/>
      <c r="L49" s="491"/>
      <c r="M49" s="77"/>
      <c r="N49" s="491"/>
      <c r="O49" s="77"/>
      <c r="P49" s="491"/>
      <c r="Q49" s="491"/>
    </row>
    <row r="50" spans="1:19" s="70" customFormat="1" outlineLevel="1" x14ac:dyDescent="0.3">
      <c r="A50" s="789" t="s">
        <v>457</v>
      </c>
      <c r="B50" s="790"/>
      <c r="C50" s="790"/>
      <c r="D50" s="790"/>
      <c r="E50" s="790"/>
      <c r="F50" s="790"/>
      <c r="G50" s="790"/>
      <c r="H50" s="790"/>
      <c r="I50" s="607">
        <f>I29+I24</f>
        <v>1856.3795609001259</v>
      </c>
      <c r="J50" s="615">
        <f>J48+J40+J39+J29+J24+J18+J12+J4</f>
        <v>25642545.745006796</v>
      </c>
      <c r="K50" s="606">
        <f>K47+K40+K39+K29+K24+K18+K12+K4</f>
        <v>0.99491458481409889</v>
      </c>
      <c r="L50" s="615">
        <f>L48+L40+L39+L29+L24+L18+L12+L4</f>
        <v>129256741.17311104</v>
      </c>
      <c r="M50" s="606">
        <f>M47+M40+M39+M29+M24+M18+M12+M4</f>
        <v>0.9971246609200628</v>
      </c>
      <c r="N50" s="615">
        <f>N48+N40+N39+N29+N24+N18+N12+N4</f>
        <v>446668413.14451766</v>
      </c>
      <c r="O50" s="606">
        <f>O47+O40+O39+O29+O24+O18+O12+O4</f>
        <v>0.99815163451087907</v>
      </c>
      <c r="P50" s="615">
        <f>P48+P40+P39+P29+P24+P18+P12+P4</f>
        <v>825736278.6671946</v>
      </c>
      <c r="Q50" s="606">
        <f>Q47+Q40+Q39+Q29+Q24+Q18+Q12+Q4</f>
        <v>0.999064298015651</v>
      </c>
      <c r="S50" s="65"/>
    </row>
    <row r="51" spans="1:19" s="70" customFormat="1" outlineLevel="1" x14ac:dyDescent="0.3">
      <c r="A51" s="422"/>
      <c r="B51" s="491"/>
      <c r="C51" s="491"/>
      <c r="D51" s="491"/>
      <c r="E51" s="491"/>
      <c r="F51" s="491"/>
      <c r="G51" s="491"/>
      <c r="H51" s="491"/>
      <c r="I51" s="491"/>
      <c r="J51" s="379"/>
      <c r="K51" s="84"/>
      <c r="L51" s="379"/>
      <c r="M51" s="84"/>
      <c r="N51" s="379"/>
      <c r="O51" s="84"/>
      <c r="P51" s="379"/>
      <c r="Q51" s="491"/>
    </row>
    <row r="52" spans="1:19" s="59" customFormat="1" x14ac:dyDescent="0.3">
      <c r="A52" s="927">
        <v>2</v>
      </c>
      <c r="B52" s="928" t="s">
        <v>58</v>
      </c>
      <c r="C52" s="928"/>
      <c r="D52" s="928"/>
      <c r="E52" s="928"/>
      <c r="F52" s="928"/>
      <c r="G52" s="928"/>
      <c r="H52" s="928"/>
      <c r="I52" s="928"/>
      <c r="J52" s="929">
        <f>SUM(J53:J58)</f>
        <v>1558804.2398804501</v>
      </c>
      <c r="K52" s="946">
        <f>J52/$J$50</f>
        <v>6.0789761491757729E-2</v>
      </c>
      <c r="L52" s="929">
        <f>SUM(L53:L58)</f>
        <v>3932518.8936855793</v>
      </c>
      <c r="M52" s="946">
        <f>L52/$L$50</f>
        <v>3.0424091292993633E-2</v>
      </c>
      <c r="N52" s="929">
        <f>SUM(N53:N58)</f>
        <v>6149475.9960981784</v>
      </c>
      <c r="O52" s="946">
        <f>N52/$N$50</f>
        <v>1.3767429742359108E-2</v>
      </c>
      <c r="P52" s="929">
        <f>SUM(P53:P58)</f>
        <v>6891933.5217293547</v>
      </c>
      <c r="Q52" s="931">
        <f>P52/$P$50</f>
        <v>8.3464099855870381E-3</v>
      </c>
    </row>
    <row r="53" spans="1:19" outlineLevel="1" x14ac:dyDescent="0.3">
      <c r="A53" s="891">
        <v>2.1</v>
      </c>
      <c r="B53" s="492"/>
      <c r="C53" s="492" t="s">
        <v>52</v>
      </c>
      <c r="D53" s="492"/>
      <c r="E53" s="492"/>
      <c r="F53" s="492"/>
      <c r="G53" s="492"/>
      <c r="H53" s="492"/>
      <c r="I53" s="492"/>
      <c r="J53" s="487">
        <f>'2.1'!E4</f>
        <v>362127.50614730391</v>
      </c>
      <c r="K53" s="863">
        <f t="shared" ref="K53:K58" si="5">J53/$J$50</f>
        <v>1.4122135522282088E-2</v>
      </c>
      <c r="L53" s="487">
        <f>'2.1'!F4</f>
        <v>1890321.1749357637</v>
      </c>
      <c r="M53" s="863">
        <f t="shared" ref="M53:M58" si="6">L53/$L$50</f>
        <v>1.4624546138016069E-2</v>
      </c>
      <c r="N53" s="487">
        <f>'2.1'!G4</f>
        <v>3746751.2896837573</v>
      </c>
      <c r="O53" s="863">
        <f t="shared" ref="O53:O58" si="7">N53/$N$50</f>
        <v>8.3882163578724162E-3</v>
      </c>
      <c r="P53" s="487">
        <f>'2.1'!H4</f>
        <v>3599059.5674896254</v>
      </c>
      <c r="Q53" s="895">
        <f t="shared" ref="Q53:Q58" si="8">P53/$P$50</f>
        <v>4.3586065678242938E-3</v>
      </c>
      <c r="R53" s="611"/>
    </row>
    <row r="54" spans="1:19" outlineLevel="1" x14ac:dyDescent="0.3">
      <c r="A54" s="891">
        <v>2.2000000000000002</v>
      </c>
      <c r="B54" s="492"/>
      <c r="C54" s="492" t="s">
        <v>53</v>
      </c>
      <c r="D54" s="492"/>
      <c r="E54" s="492"/>
      <c r="F54" s="492"/>
      <c r="G54" s="492"/>
      <c r="H54" s="492"/>
      <c r="I54" s="492"/>
      <c r="J54" s="487">
        <f>'2.2'!E4</f>
        <v>855000</v>
      </c>
      <c r="K54" s="863">
        <f t="shared" si="5"/>
        <v>3.3343023290364551E-2</v>
      </c>
      <c r="L54" s="487">
        <f>'2.2'!F4</f>
        <v>1266000</v>
      </c>
      <c r="M54" s="863">
        <f t="shared" si="6"/>
        <v>9.7944601458307759E-3</v>
      </c>
      <c r="N54" s="487">
        <f>'2.2'!G4</f>
        <v>1266000</v>
      </c>
      <c r="O54" s="863">
        <f t="shared" si="7"/>
        <v>2.8343172759574364E-3</v>
      </c>
      <c r="P54" s="487">
        <f>'2.2'!H4</f>
        <v>1266000</v>
      </c>
      <c r="Q54" s="895">
        <f t="shared" si="8"/>
        <v>1.5331771568077726E-3</v>
      </c>
      <c r="R54" s="353"/>
      <c r="S54" s="3"/>
    </row>
    <row r="55" spans="1:19" outlineLevel="1" x14ac:dyDescent="0.3">
      <c r="A55" s="891">
        <v>2.2999999999999998</v>
      </c>
      <c r="B55" s="492"/>
      <c r="C55" s="492" t="s">
        <v>54</v>
      </c>
      <c r="D55" s="492"/>
      <c r="E55" s="492"/>
      <c r="F55" s="492"/>
      <c r="G55" s="492"/>
      <c r="H55" s="492"/>
      <c r="I55" s="492"/>
      <c r="J55" s="487">
        <f>'2.3'!F5</f>
        <v>31356.666666666668</v>
      </c>
      <c r="K55" s="863">
        <f t="shared" si="5"/>
        <v>1.2228375052337596E-3</v>
      </c>
      <c r="L55" s="487">
        <f>'2.3'!G5</f>
        <v>313566.66666666669</v>
      </c>
      <c r="M55" s="863">
        <f t="shared" si="6"/>
        <v>2.4259211846190129E-3</v>
      </c>
      <c r="N55" s="487">
        <f>'2.3'!H5</f>
        <v>541966.66666666674</v>
      </c>
      <c r="O55" s="863">
        <f t="shared" si="7"/>
        <v>1.2133534647127953E-3</v>
      </c>
      <c r="P55" s="487">
        <f>'2.3'!I5</f>
        <v>1083933.3333333335</v>
      </c>
      <c r="Q55" s="895">
        <f t="shared" si="8"/>
        <v>1.3126870664843379E-3</v>
      </c>
      <c r="R55" s="134"/>
      <c r="S55" s="9"/>
    </row>
    <row r="56" spans="1:19" outlineLevel="1" x14ac:dyDescent="0.3">
      <c r="A56" s="891">
        <v>2.4</v>
      </c>
      <c r="B56" s="492"/>
      <c r="C56" s="492" t="s">
        <v>55</v>
      </c>
      <c r="D56" s="492"/>
      <c r="E56" s="492"/>
      <c r="F56" s="492"/>
      <c r="G56" s="492"/>
      <c r="H56" s="492"/>
      <c r="I56" s="492"/>
      <c r="J56" s="487">
        <f>'2.4'!E4</f>
        <v>261561</v>
      </c>
      <c r="K56" s="863">
        <f t="shared" si="5"/>
        <v>1.0200274286375488E-2</v>
      </c>
      <c r="L56" s="487">
        <f>'2.4'!F4</f>
        <v>399936</v>
      </c>
      <c r="M56" s="863">
        <f t="shared" si="6"/>
        <v>3.0941210212345792E-3</v>
      </c>
      <c r="N56" s="487">
        <f>'2.4'!G4</f>
        <v>454692</v>
      </c>
      <c r="O56" s="863">
        <f t="shared" si="7"/>
        <v>1.0179631839175661E-3</v>
      </c>
      <c r="P56" s="487">
        <f>'2.4'!H4</f>
        <v>674634</v>
      </c>
      <c r="Q56" s="895">
        <f t="shared" si="8"/>
        <v>8.1700903475975892E-4</v>
      </c>
      <c r="R56" s="611"/>
    </row>
    <row r="57" spans="1:19" outlineLevel="1" x14ac:dyDescent="0.3">
      <c r="A57" s="925">
        <v>2.5</v>
      </c>
      <c r="B57" s="492"/>
      <c r="C57" s="492" t="s">
        <v>56</v>
      </c>
      <c r="D57" s="492"/>
      <c r="E57" s="492"/>
      <c r="F57" s="492"/>
      <c r="G57" s="492"/>
      <c r="H57" s="492"/>
      <c r="I57" s="492"/>
      <c r="J57" s="487">
        <f>'2.5'!E5</f>
        <v>46759.067066479402</v>
      </c>
      <c r="K57" s="863">
        <f t="shared" si="5"/>
        <v>1.8234955113840242E-3</v>
      </c>
      <c r="L57" s="487">
        <f>'2.5'!F5</f>
        <v>42695.052083148934</v>
      </c>
      <c r="M57" s="863">
        <f>L57/$L$50</f>
        <v>3.3031199530218915E-4</v>
      </c>
      <c r="N57" s="487">
        <f>'2.5'!G5</f>
        <v>40066.039747753668</v>
      </c>
      <c r="O57" s="863">
        <f t="shared" si="7"/>
        <v>8.9699738259285582E-5</v>
      </c>
      <c r="P57" s="487">
        <f>'2.5'!H5</f>
        <v>68306.620906394659</v>
      </c>
      <c r="Q57" s="895">
        <f t="shared" si="8"/>
        <v>8.2722078066676562E-5</v>
      </c>
      <c r="R57" s="611"/>
    </row>
    <row r="58" spans="1:19" outlineLevel="1" x14ac:dyDescent="0.3">
      <c r="A58" s="900">
        <v>2.6</v>
      </c>
      <c r="B58" s="78"/>
      <c r="C58" s="78" t="s">
        <v>57</v>
      </c>
      <c r="D58" s="78"/>
      <c r="E58" s="78"/>
      <c r="F58" s="78"/>
      <c r="G58" s="78"/>
      <c r="H58" s="78"/>
      <c r="I58" s="78"/>
      <c r="J58" s="523">
        <f>'2.6'!E4</f>
        <v>2000</v>
      </c>
      <c r="K58" s="926">
        <f t="shared" si="5"/>
        <v>7.799537611781181E-5</v>
      </c>
      <c r="L58" s="523">
        <f>'2.6'!F4</f>
        <v>20000</v>
      </c>
      <c r="M58" s="926">
        <f t="shared" si="6"/>
        <v>1.5473080799100752E-4</v>
      </c>
      <c r="N58" s="523">
        <f>'2.6'!G4</f>
        <v>100000</v>
      </c>
      <c r="O58" s="926">
        <f t="shared" si="7"/>
        <v>2.2387972163960792E-4</v>
      </c>
      <c r="P58" s="523">
        <f>'2.6'!H4</f>
        <v>200000</v>
      </c>
      <c r="Q58" s="902">
        <f t="shared" si="8"/>
        <v>2.4220808164419788E-4</v>
      </c>
      <c r="R58" s="611"/>
      <c r="S58" s="10"/>
    </row>
    <row r="59" spans="1:19" x14ac:dyDescent="0.3">
      <c r="I59" s="61"/>
      <c r="J59" s="61"/>
      <c r="K59" s="77"/>
      <c r="L59" s="61"/>
      <c r="M59" s="77"/>
      <c r="N59" s="61"/>
      <c r="O59" s="77"/>
      <c r="P59" s="61"/>
      <c r="Q59" s="61"/>
    </row>
    <row r="60" spans="1:19" s="59" customFormat="1" x14ac:dyDescent="0.3">
      <c r="A60" s="137" t="s">
        <v>182</v>
      </c>
      <c r="B60" s="138"/>
      <c r="C60" s="138"/>
      <c r="D60" s="138"/>
      <c r="E60" s="138"/>
      <c r="F60" s="138"/>
      <c r="G60" s="138"/>
      <c r="H60" s="138"/>
      <c r="I60" s="138"/>
      <c r="J60" s="145">
        <f>J52</f>
        <v>1558804.2398804501</v>
      </c>
      <c r="K60" s="140">
        <f t="shared" ref="K60:Q60" si="9">SUM(K53:K58)</f>
        <v>6.0789761491757729E-2</v>
      </c>
      <c r="L60" s="362">
        <f>L52</f>
        <v>3932518.8936855793</v>
      </c>
      <c r="M60" s="140">
        <f t="shared" si="9"/>
        <v>3.042409129299363E-2</v>
      </c>
      <c r="N60" s="362">
        <f>N52</f>
        <v>6149475.9960981784</v>
      </c>
      <c r="O60" s="140">
        <f t="shared" si="9"/>
        <v>1.3767429742359106E-2</v>
      </c>
      <c r="P60" s="362">
        <f>P52</f>
        <v>6891933.5217293547</v>
      </c>
      <c r="Q60" s="140">
        <f t="shared" si="9"/>
        <v>8.3464099855870381E-3</v>
      </c>
    </row>
    <row r="61" spans="1:19" x14ac:dyDescent="0.3">
      <c r="J61" s="3"/>
      <c r="K61" s="84"/>
      <c r="L61" s="3"/>
      <c r="M61" s="84"/>
      <c r="N61" s="3"/>
      <c r="O61" s="84"/>
      <c r="P61" s="3"/>
    </row>
    <row r="62" spans="1:19" x14ac:dyDescent="0.3">
      <c r="J62" s="4"/>
      <c r="K62" s="77"/>
      <c r="L62" s="4"/>
      <c r="M62" s="77"/>
      <c r="N62" s="4"/>
      <c r="O62" s="77"/>
      <c r="P62" s="4"/>
    </row>
    <row r="63" spans="1:19" ht="15" thickBot="1" x14ac:dyDescent="0.35">
      <c r="A63" s="792" t="s">
        <v>806</v>
      </c>
      <c r="B63" s="793"/>
      <c r="C63" s="793"/>
      <c r="D63" s="793"/>
      <c r="E63" s="793"/>
      <c r="F63" s="793"/>
      <c r="G63" s="793"/>
      <c r="H63" s="793"/>
      <c r="I63" s="793"/>
      <c r="J63" s="795">
        <f>'CBS (CoE)'!J64</f>
        <v>4.7892221203690966</v>
      </c>
      <c r="K63" s="795"/>
      <c r="L63" s="795">
        <f>'CBS (CoE)'!L64</f>
        <v>1.9799474731657751</v>
      </c>
      <c r="M63" s="795"/>
      <c r="N63" s="795">
        <f>'CBS (CoE)'!N64</f>
        <v>1.2038122685428698</v>
      </c>
      <c r="O63" s="795"/>
      <c r="P63" s="795">
        <f>'CBS (CoE)'!P64</f>
        <v>1.0632022343284886</v>
      </c>
    </row>
    <row r="64" spans="1:19" ht="15" thickTop="1" x14ac:dyDescent="0.3"/>
    <row r="66" spans="10:11" x14ac:dyDescent="0.3">
      <c r="J66" s="469"/>
    </row>
    <row r="67" spans="10:11" x14ac:dyDescent="0.3">
      <c r="J67" s="469"/>
      <c r="K67" s="796"/>
    </row>
    <row r="68" spans="10:11" x14ac:dyDescent="0.3">
      <c r="J68" s="469"/>
      <c r="K68" s="796"/>
    </row>
    <row r="69" spans="10:11" x14ac:dyDescent="0.3">
      <c r="J69" s="469"/>
      <c r="K69" s="796"/>
    </row>
    <row r="70" spans="10:11" x14ac:dyDescent="0.3">
      <c r="J70" s="469"/>
      <c r="K70" s="796"/>
    </row>
    <row r="71" spans="10:11" x14ac:dyDescent="0.3">
      <c r="J71" s="469"/>
    </row>
    <row r="72" spans="10:11" x14ac:dyDescent="0.3">
      <c r="J72" s="469"/>
      <c r="K72" s="796"/>
    </row>
    <row r="73" spans="10:11" x14ac:dyDescent="0.3">
      <c r="J73" s="469"/>
    </row>
  </sheetData>
  <dataConsolidate/>
  <mergeCells count="1">
    <mergeCell ref="J1:P1"/>
  </mergeCells>
  <pageMargins left="0.7" right="0.7" top="0.75" bottom="0.75" header="0.3" footer="0.3"/>
  <pageSetup orientation="portrait" horizontalDpi="4294967293"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43CB6CC28CE447870F2E15E365A30D" ma:contentTypeVersion="0" ma:contentTypeDescription="Create a new document." ma:contentTypeScope="" ma:versionID="e6d758049362600aef2f8d54b67b20ab">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6A9A58-FD1F-4DBA-A09E-0E360168D0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7D0E18C-B8E5-419B-BDA0-A0BB1F839953}">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www.w3.org/XML/1998/namespace"/>
    <ds:schemaRef ds:uri="http://purl.org/dc/elements/1.1/"/>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8F423E34-AB59-45AB-9514-2D244989BD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Report Tables</vt:lpstr>
      <vt:lpstr>Report Graphs</vt:lpstr>
      <vt:lpstr>NEW Report Graphs and Tables</vt:lpstr>
      <vt:lpstr>Qualitative Uncertainty</vt:lpstr>
      <vt:lpstr>Mass Uncertainty</vt:lpstr>
      <vt:lpstr>Performance &amp; Economics</vt:lpstr>
      <vt:lpstr>CBS (CoE)</vt:lpstr>
      <vt:lpstr>CBS ($ per kW)</vt:lpstr>
      <vt:lpstr>CBS (Total)</vt:lpstr>
      <vt:lpstr>1.1</vt:lpstr>
      <vt:lpstr>1.2 (RM3)</vt:lpstr>
      <vt:lpstr>1.2</vt:lpstr>
      <vt:lpstr>1.3 (RM3)</vt:lpstr>
      <vt:lpstr>1.3</vt:lpstr>
      <vt:lpstr>1.4 (RM3)</vt:lpstr>
      <vt:lpstr>1.4</vt:lpstr>
      <vt:lpstr>1.5 (RM3)</vt:lpstr>
      <vt:lpstr>1.5</vt:lpstr>
      <vt:lpstr>1.6</vt:lpstr>
      <vt:lpstr>1.8</vt:lpstr>
      <vt:lpstr>1.7</vt:lpstr>
      <vt:lpstr>1.7 (RM3)</vt:lpstr>
      <vt:lpstr>1.9</vt:lpstr>
      <vt:lpstr>2.1</vt:lpstr>
      <vt:lpstr>2.2</vt:lpstr>
      <vt:lpstr>2.3</vt:lpstr>
      <vt:lpstr>2.4</vt:lpstr>
      <vt:lpstr>2.5 (RM3)</vt:lpstr>
      <vt:lpstr>2.5</vt:lpstr>
      <vt:lpstr>2.6</vt:lpstr>
      <vt:lpstr>ARL PTO Breakdown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Mirko</dc:creator>
  <cp:lastModifiedBy>Neary, Vincent</cp:lastModifiedBy>
  <dcterms:created xsi:type="dcterms:W3CDTF">2012-04-25T12:13:03Z</dcterms:created>
  <dcterms:modified xsi:type="dcterms:W3CDTF">2014-09-29T20:35:07Z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0x0101000043CB6CC28CE447870F2E15E365A30D</vt:lpwstr>
  </property>
</Properties>
</file>