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heme/themeOverride7.xml" ContentType="application/vnd.openxmlformats-officedocument.themeOverride+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8.xml" ContentType="application/vnd.openxmlformats-officedocument.drawing+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autoCompressPictures="0" defaultThemeVersion="124226"/>
  <bookViews>
    <workbookView xWindow="0" yWindow="240" windowWidth="10035" windowHeight="7185" tabRatio="890" firstSheet="1" activeTab="7"/>
  </bookViews>
  <sheets>
    <sheet name="Report Tables" sheetId="26" state="hidden" r:id="rId1"/>
    <sheet name="Report Graphs" sheetId="33" r:id="rId2"/>
    <sheet name="About" sheetId="51" r:id="rId3"/>
    <sheet name="NEW Report Graphs and Tables" sheetId="45" r:id="rId4"/>
    <sheet name="Uncertainty" sheetId="46" r:id="rId5"/>
    <sheet name="Uncertainty2" sheetId="50" r:id="rId6"/>
    <sheet name="Performance &amp; Economics" sheetId="31" r:id="rId7"/>
    <sheet name="CBS (CoE)" sheetId="23" r:id="rId8"/>
    <sheet name="CBS ($ per kW)" sheetId="22" r:id="rId9"/>
    <sheet name="CBS (Total)" sheetId="1" r:id="rId10"/>
    <sheet name="1.1 (RM6)" sheetId="47" state="hidden" r:id="rId11"/>
    <sheet name="1.1" sheetId="2" r:id="rId12"/>
    <sheet name="1.2 (RM3)" sheetId="40" state="hidden" r:id="rId13"/>
    <sheet name="1.2" sheetId="3" r:id="rId14"/>
    <sheet name="1.3 (RM3)" sheetId="5" state="hidden" r:id="rId15"/>
    <sheet name="1.3" sheetId="35" r:id="rId16"/>
    <sheet name="1.4 (RM3)" sheetId="4" state="hidden" r:id="rId17"/>
    <sheet name="1.4" sheetId="34" r:id="rId18"/>
    <sheet name="1.5 (RM3)" sheetId="18" state="hidden" r:id="rId19"/>
    <sheet name="1.5 (RM6)" sheetId="49" state="hidden" r:id="rId20"/>
    <sheet name="1.5" sheetId="37" r:id="rId21"/>
    <sheet name="1.6" sheetId="7" r:id="rId22"/>
    <sheet name="1.7" sheetId="36" r:id="rId23"/>
    <sheet name="1.7 (RM3)" sheetId="8" state="hidden" r:id="rId24"/>
    <sheet name="1.8" sheetId="27" r:id="rId25"/>
    <sheet name="1.9" sheetId="28" r:id="rId26"/>
    <sheet name="2.1" sheetId="11" r:id="rId27"/>
    <sheet name="2.2" sheetId="12" r:id="rId28"/>
    <sheet name="2.3" sheetId="13" r:id="rId29"/>
    <sheet name="2.4" sheetId="14" r:id="rId30"/>
    <sheet name="2.5 (RM3)" sheetId="41" state="hidden" r:id="rId31"/>
    <sheet name="2.5" sheetId="15" r:id="rId32"/>
    <sheet name="2.6" sheetId="16" r:id="rId33"/>
    <sheet name="ARL PTO Breakdown" sheetId="39" state="hidden" r:id="rId34"/>
  </sheets>
  <externalReferences>
    <externalReference r:id="rId35"/>
    <externalReference r:id="rId36"/>
    <externalReference r:id="rId37"/>
  </externalReferences>
  <definedNames>
    <definedName name="_xlnm._FilterDatabase" localSheetId="20" hidden="1">'1.5'!$D$22:$Q$42</definedName>
    <definedName name="_xlnm._FilterDatabase" localSheetId="3" hidden="1">'NEW Report Graphs and Tables'!$B$61:$D$74</definedName>
    <definedName name="AnnArrayOMCost" localSheetId="10">#REF!</definedName>
    <definedName name="AnnArrayOMCost" localSheetId="12">#REF!</definedName>
    <definedName name="AnnArrayOMCost" localSheetId="15">#REF!</definedName>
    <definedName name="AnnArrayOMCost" localSheetId="17">#REF!</definedName>
    <definedName name="AnnArrayOMCost" localSheetId="20">#REF!</definedName>
    <definedName name="AnnArrayOMCost" localSheetId="19">#REF!</definedName>
    <definedName name="AnnArrayOMCost" localSheetId="22">#REF!</definedName>
    <definedName name="AnnArrayOMCost" localSheetId="30">#REF!</definedName>
    <definedName name="AnnArrayOMCost">#REF!</definedName>
    <definedName name="AnnArrayOutput" localSheetId="10">#REF!</definedName>
    <definedName name="AnnArrayOutput" localSheetId="12">#REF!</definedName>
    <definedName name="AnnArrayOutput" localSheetId="15">#REF!</definedName>
    <definedName name="AnnArrayOutput" localSheetId="17">#REF!</definedName>
    <definedName name="AnnArrayOutput" localSheetId="20">#REF!</definedName>
    <definedName name="AnnArrayOutput" localSheetId="19">#REF!</definedName>
    <definedName name="AnnArrayOutput" localSheetId="22">#REF!</definedName>
    <definedName name="AnnArrayOutput" localSheetId="30">#REF!</definedName>
    <definedName name="AnnArrayOutput">#REF!</definedName>
    <definedName name="ArrayInstalledCost" localSheetId="10">#REF!</definedName>
    <definedName name="ArrayInstalledCost" localSheetId="12">#REF!</definedName>
    <definedName name="ArrayInstalledCost" localSheetId="15">#REF!</definedName>
    <definedName name="ArrayInstalledCost" localSheetId="17">#REF!</definedName>
    <definedName name="ArrayInstalledCost" localSheetId="20">#REF!</definedName>
    <definedName name="ArrayInstalledCost" localSheetId="19">#REF!</definedName>
    <definedName name="ArrayInstalledCost" localSheetId="22">#REF!</definedName>
    <definedName name="ArrayInstalledCost" localSheetId="30">#REF!</definedName>
    <definedName name="ArrayInstalledCost">#REF!</definedName>
    <definedName name="Avail">[1]Master!$K$6</definedName>
    <definedName name="Availability" localSheetId="10">#REF!</definedName>
    <definedName name="Availability" localSheetId="12">#REF!</definedName>
    <definedName name="Availability" localSheetId="15">#REF!</definedName>
    <definedName name="Availability" localSheetId="17">#REF!</definedName>
    <definedName name="Availability" localSheetId="20">#REF!</definedName>
    <definedName name="Availability" localSheetId="19">#REF!</definedName>
    <definedName name="Availability" localSheetId="22">#REF!</definedName>
    <definedName name="Availability" localSheetId="30">#REF!</definedName>
    <definedName name="Availability">#REF!</definedName>
    <definedName name="AvgCurrentSpeedSurface" localSheetId="10">#REF!</definedName>
    <definedName name="AvgCurrentSpeedSurface" localSheetId="12">#REF!</definedName>
    <definedName name="AvgCurrentSpeedSurface" localSheetId="15">#REF!</definedName>
    <definedName name="AvgCurrentSpeedSurface" localSheetId="17">#REF!</definedName>
    <definedName name="AvgCurrentSpeedSurface" localSheetId="20">#REF!</definedName>
    <definedName name="AvgCurrentSpeedSurface" localSheetId="19">#REF!</definedName>
    <definedName name="AvgCurrentSpeedSurface" localSheetId="22">#REF!</definedName>
    <definedName name="AvgCurrentSpeedSurface" localSheetId="30">#REF!</definedName>
    <definedName name="AvgCurrentSpeedSurface">#REF!</definedName>
    <definedName name="AvgPowerFluxSurface" localSheetId="10">#REF!</definedName>
    <definedName name="AvgPowerFluxSurface" localSheetId="12">#REF!</definedName>
    <definedName name="AvgPowerFluxSurface" localSheetId="15">#REF!</definedName>
    <definedName name="AvgPowerFluxSurface" localSheetId="17">#REF!</definedName>
    <definedName name="AvgPowerFluxSurface" localSheetId="20">#REF!</definedName>
    <definedName name="AvgPowerFluxSurface" localSheetId="19">#REF!</definedName>
    <definedName name="AvgPowerFluxSurface" localSheetId="22">#REF!</definedName>
    <definedName name="AvgPowerFluxSurface" localSheetId="30">#REF!</definedName>
    <definedName name="AvgPowerFluxSurface">#REF!</definedName>
    <definedName name="AvgProgRatio" localSheetId="10">#REF!</definedName>
    <definedName name="AvgProgRatio" localSheetId="12">#REF!</definedName>
    <definedName name="AvgProgRatio" localSheetId="15">#REF!</definedName>
    <definedName name="AvgProgRatio" localSheetId="17">#REF!</definedName>
    <definedName name="AvgProgRatio" localSheetId="20">#REF!</definedName>
    <definedName name="AvgProgRatio" localSheetId="19">#REF!</definedName>
    <definedName name="AvgProgRatio" localSheetId="22">#REF!</definedName>
    <definedName name="AvgProgRatio" localSheetId="30">#REF!</definedName>
    <definedName name="AvgProgRatio">#REF!</definedName>
    <definedName name="CableLen">[1]Master!$K$11</definedName>
    <definedName name="Capex" localSheetId="10">#REF!</definedName>
    <definedName name="Capex" localSheetId="12">#REF!</definedName>
    <definedName name="Capex" localSheetId="15">#REF!</definedName>
    <definedName name="Capex" localSheetId="17">#REF!</definedName>
    <definedName name="Capex" localSheetId="20">#REF!</definedName>
    <definedName name="Capex" localSheetId="19">#REF!</definedName>
    <definedName name="Capex" localSheetId="22">#REF!</definedName>
    <definedName name="Capex" localSheetId="30">#REF!</definedName>
    <definedName name="Capex">#REF!</definedName>
    <definedName name="CapFactor" localSheetId="10">#REF!</definedName>
    <definedName name="CapFactor" localSheetId="12">#REF!</definedName>
    <definedName name="CapFactor" localSheetId="15">#REF!</definedName>
    <definedName name="CapFactor" localSheetId="17">#REF!</definedName>
    <definedName name="CapFactor" localSheetId="20">#REF!</definedName>
    <definedName name="CapFactor" localSheetId="19">#REF!</definedName>
    <definedName name="CapFactor" localSheetId="22">#REF!</definedName>
    <definedName name="CapFactor" localSheetId="30">#REF!</definedName>
    <definedName name="CapFactor">#REF!</definedName>
    <definedName name="Clearance" localSheetId="10">#REF!</definedName>
    <definedName name="Clearance" localSheetId="12">#REF!</definedName>
    <definedName name="Clearance" localSheetId="15">#REF!</definedName>
    <definedName name="Clearance" localSheetId="17">#REF!</definedName>
    <definedName name="Clearance" localSheetId="20">#REF!</definedName>
    <definedName name="Clearance" localSheetId="19">#REF!</definedName>
    <definedName name="Clearance" localSheetId="22">#REF!</definedName>
    <definedName name="Clearance" localSheetId="30">#REF!</definedName>
    <definedName name="Clearance">#REF!</definedName>
    <definedName name="COEReal" localSheetId="10">#REF!</definedName>
    <definedName name="COEReal" localSheetId="12">#REF!</definedName>
    <definedName name="COEReal" localSheetId="15">#REF!</definedName>
    <definedName name="COEReal" localSheetId="17">#REF!</definedName>
    <definedName name="COEReal" localSheetId="20">#REF!</definedName>
    <definedName name="COEReal" localSheetId="19">#REF!</definedName>
    <definedName name="COEReal" localSheetId="22">#REF!</definedName>
    <definedName name="COEReal" localSheetId="30">#REF!</definedName>
    <definedName name="COEReal">#REF!</definedName>
    <definedName name="CRF" localSheetId="10">#REF!</definedName>
    <definedName name="CRF" localSheetId="12">#REF!</definedName>
    <definedName name="CRF" localSheetId="15">#REF!</definedName>
    <definedName name="CRF" localSheetId="17">#REF!</definedName>
    <definedName name="CRF" localSheetId="20">#REF!</definedName>
    <definedName name="CRF" localSheetId="19">#REF!</definedName>
    <definedName name="CRF" localSheetId="22">#REF!</definedName>
    <definedName name="CRF" localSheetId="30">#REF!</definedName>
    <definedName name="CRF">#REF!</definedName>
    <definedName name="CurrentSenario" localSheetId="10">#REF!</definedName>
    <definedName name="CurrentSenario" localSheetId="12">#REF!</definedName>
    <definedName name="CurrentSenario" localSheetId="15">#REF!</definedName>
    <definedName name="CurrentSenario" localSheetId="17">#REF!</definedName>
    <definedName name="CurrentSenario" localSheetId="20">#REF!</definedName>
    <definedName name="CurrentSenario" localSheetId="19">#REF!</definedName>
    <definedName name="CurrentSenario" localSheetId="22">#REF!</definedName>
    <definedName name="CurrentSenario" localSheetId="30">#REF!</definedName>
    <definedName name="CurrentSenario">#REF!</definedName>
    <definedName name="CutinSpeed">[1]Master!$E$12</definedName>
    <definedName name="DeviceOrientation" localSheetId="10">#REF!</definedName>
    <definedName name="DeviceOrientation" localSheetId="12">#REF!</definedName>
    <definedName name="DeviceOrientation" localSheetId="15">#REF!</definedName>
    <definedName name="DeviceOrientation" localSheetId="17">#REF!</definedName>
    <definedName name="DeviceOrientation" localSheetId="20">#REF!</definedName>
    <definedName name="DeviceOrientation" localSheetId="19">#REF!</definedName>
    <definedName name="DeviceOrientation" localSheetId="22">#REF!</definedName>
    <definedName name="DeviceOrientation" localSheetId="30">#REF!</definedName>
    <definedName name="DeviceOrientation">#REF!</definedName>
    <definedName name="DuctClearance" localSheetId="10">#REF!</definedName>
    <definedName name="DuctClearance" localSheetId="12">#REF!</definedName>
    <definedName name="DuctClearance" localSheetId="15">#REF!</definedName>
    <definedName name="DuctClearance" localSheetId="17">#REF!</definedName>
    <definedName name="DuctClearance" localSheetId="20">#REF!</definedName>
    <definedName name="DuctClearance" localSheetId="19">#REF!</definedName>
    <definedName name="DuctClearance" localSheetId="22">#REF!</definedName>
    <definedName name="DuctClearance" localSheetId="30">#REF!</definedName>
    <definedName name="DuctClearance">#REF!</definedName>
    <definedName name="Grid" localSheetId="10">#REF!</definedName>
    <definedName name="Grid" localSheetId="12">#REF!</definedName>
    <definedName name="Grid" localSheetId="15">#REF!</definedName>
    <definedName name="Grid" localSheetId="17">#REF!</definedName>
    <definedName name="Grid" localSheetId="20">#REF!</definedName>
    <definedName name="Grid" localSheetId="19">#REF!</definedName>
    <definedName name="Grid" localSheetId="22">#REF!</definedName>
    <definedName name="Grid" localSheetId="30">#REF!</definedName>
    <definedName name="Grid">#REF!</definedName>
    <definedName name="HubHeight">[1]Master!$E$10</definedName>
    <definedName name="IRR" localSheetId="10">#REF!</definedName>
    <definedName name="IRR" localSheetId="12">#REF!</definedName>
    <definedName name="IRR" localSheetId="15">#REF!</definedName>
    <definedName name="IRR" localSheetId="17">#REF!</definedName>
    <definedName name="IRR" localSheetId="20">#REF!</definedName>
    <definedName name="IRR" localSheetId="19">#REF!</definedName>
    <definedName name="IRR" localSheetId="22">#REF!</definedName>
    <definedName name="IRR" localSheetId="30">#REF!</definedName>
    <definedName name="IRR">#REF!</definedName>
    <definedName name="JnctBox">[1]Master!$K$13</definedName>
    <definedName name="MonoSep">[1]Master!$K$4</definedName>
    <definedName name="nomdisc" localSheetId="10">#REF!</definedName>
    <definedName name="nomdisc" localSheetId="12">#REF!</definedName>
    <definedName name="nomdisc" localSheetId="15">#REF!</definedName>
    <definedName name="nomdisc" localSheetId="17">#REF!</definedName>
    <definedName name="nomdisc" localSheetId="20">#REF!</definedName>
    <definedName name="nomdisc" localSheetId="19">#REF!</definedName>
    <definedName name="nomdisc" localSheetId="22">#REF!</definedName>
    <definedName name="nomdisc" localSheetId="30">#REF!</definedName>
    <definedName name="nomdisc">#REF!</definedName>
    <definedName name="Nominal_CR">[1]Master!$T$5</definedName>
    <definedName name="NumTurbines" localSheetId="10">#REF!</definedName>
    <definedName name="NumTurbines" localSheetId="12">#REF!</definedName>
    <definedName name="NumTurbines" localSheetId="15">#REF!</definedName>
    <definedName name="NumTurbines" localSheetId="17">#REF!</definedName>
    <definedName name="NumTurbines" localSheetId="20">#REF!</definedName>
    <definedName name="NumTurbines" localSheetId="19">#REF!</definedName>
    <definedName name="NumTurbines" localSheetId="22">#REF!</definedName>
    <definedName name="NumTurbines" localSheetId="30">#REF!</definedName>
    <definedName name="NumTurbines">#REF!</definedName>
    <definedName name="ProgRatio" localSheetId="10">#REF!</definedName>
    <definedName name="ProgRatio" localSheetId="12">#REF!</definedName>
    <definedName name="ProgRatio" localSheetId="15">#REF!</definedName>
    <definedName name="ProgRatio" localSheetId="17">#REF!</definedName>
    <definedName name="ProgRatio" localSheetId="20">#REF!</definedName>
    <definedName name="ProgRatio" localSheetId="19">#REF!</definedName>
    <definedName name="ProgRatio" localSheetId="22">#REF!</definedName>
    <definedName name="ProgRatio" localSheetId="30">#REF!</definedName>
    <definedName name="ProgRatio">#REF!</definedName>
    <definedName name="RatedSpeed" localSheetId="10">#REF!</definedName>
    <definedName name="RatedSpeed" localSheetId="12">#REF!</definedName>
    <definedName name="RatedSpeed" localSheetId="15">#REF!</definedName>
    <definedName name="RatedSpeed" localSheetId="17">#REF!</definedName>
    <definedName name="RatedSpeed" localSheetId="20">#REF!</definedName>
    <definedName name="RatedSpeed" localSheetId="19">#REF!</definedName>
    <definedName name="RatedSpeed" localSheetId="22">#REF!</definedName>
    <definedName name="RatedSpeed" localSheetId="30">#REF!</definedName>
    <definedName name="RatedSpeed">#REF!</definedName>
    <definedName name="Real_CR">[1]Master!$T$4</definedName>
    <definedName name="realdisc" localSheetId="10">#REF!</definedName>
    <definedName name="realdisc" localSheetId="12">#REF!</definedName>
    <definedName name="realdisc" localSheetId="15">#REF!</definedName>
    <definedName name="realdisc" localSheetId="17">#REF!</definedName>
    <definedName name="realdisc" localSheetId="20">#REF!</definedName>
    <definedName name="realdisc" localSheetId="19">#REF!</definedName>
    <definedName name="realdisc" localSheetId="22">#REF!</definedName>
    <definedName name="realdisc" localSheetId="30">#REF!</definedName>
    <definedName name="realdisc">#REF!</definedName>
    <definedName name="RefCurrency" localSheetId="10">#REF!</definedName>
    <definedName name="RefCurrency" localSheetId="12">#REF!</definedName>
    <definedName name="RefCurrency" localSheetId="15">#REF!</definedName>
    <definedName name="RefCurrency" localSheetId="17">#REF!</definedName>
    <definedName name="RefCurrency" localSheetId="20">#REF!</definedName>
    <definedName name="RefCurrency" localSheetId="19">#REF!</definedName>
    <definedName name="RefCurrency" localSheetId="22">#REF!</definedName>
    <definedName name="RefCurrency" localSheetId="30">#REF!</definedName>
    <definedName name="RefCurrency">#REF!</definedName>
    <definedName name="RefYear" localSheetId="10">#REF!</definedName>
    <definedName name="RefYear" localSheetId="12">#REF!</definedName>
    <definedName name="RefYear" localSheetId="15">#REF!</definedName>
    <definedName name="RefYear" localSheetId="17">#REF!</definedName>
    <definedName name="RefYear" localSheetId="20">#REF!</definedName>
    <definedName name="RefYear" localSheetId="19">#REF!</definedName>
    <definedName name="RefYear" localSheetId="22">#REF!</definedName>
    <definedName name="RefYear" localSheetId="30">#REF!</definedName>
    <definedName name="RefYear">#REF!</definedName>
    <definedName name="rho">[2]Master!$B$2</definedName>
    <definedName name="RotorD" localSheetId="10">#REF!</definedName>
    <definedName name="RotorD" localSheetId="12">#REF!</definedName>
    <definedName name="RotorD" localSheetId="15">#REF!</definedName>
    <definedName name="RotorD" localSheetId="17">#REF!</definedName>
    <definedName name="RotorD" localSheetId="20">#REF!</definedName>
    <definedName name="RotorD" localSheetId="19">#REF!</definedName>
    <definedName name="RotorD" localSheetId="22">#REF!</definedName>
    <definedName name="RotorD" localSheetId="30">#REF!</definedName>
    <definedName name="RotorD">#REF!</definedName>
    <definedName name="RotorEff">[1]Master!$E$11</definedName>
    <definedName name="S1_ValueName1" localSheetId="10">#REF!</definedName>
    <definedName name="S1_ValueName1" localSheetId="12">#REF!</definedName>
    <definedName name="S1_ValueName1" localSheetId="15">#REF!</definedName>
    <definedName name="S1_ValueName1" localSheetId="17">#REF!</definedName>
    <definedName name="S1_ValueName1" localSheetId="20">#REF!</definedName>
    <definedName name="S1_ValueName1" localSheetId="19">#REF!</definedName>
    <definedName name="S1_ValueName1" localSheetId="22">#REF!</definedName>
    <definedName name="S1_ValueName1" localSheetId="30">#REF!</definedName>
    <definedName name="S1_ValueName1">#REF!</definedName>
    <definedName name="Senarios" localSheetId="10">#REF!</definedName>
    <definedName name="Senarios" localSheetId="12">#REF!</definedName>
    <definedName name="Senarios" localSheetId="15">#REF!</definedName>
    <definedName name="Senarios" localSheetId="17">#REF!</definedName>
    <definedName name="Senarios" localSheetId="20">#REF!</definedName>
    <definedName name="Senarios" localSheetId="19">#REF!</definedName>
    <definedName name="Senarios" localSheetId="22">#REF!</definedName>
    <definedName name="Senarios" localSheetId="30">#REF!</definedName>
    <definedName name="Senarios">#REF!</definedName>
    <definedName name="ShoreProtect" localSheetId="10">#REF!</definedName>
    <definedName name="ShoreProtect" localSheetId="12">#REF!</definedName>
    <definedName name="ShoreProtect" localSheetId="15">#REF!</definedName>
    <definedName name="ShoreProtect" localSheetId="17">#REF!</definedName>
    <definedName name="ShoreProtect" localSheetId="20">#REF!</definedName>
    <definedName name="ShoreProtect" localSheetId="19">#REF!</definedName>
    <definedName name="ShoreProtect" localSheetId="22">#REF!</definedName>
    <definedName name="ShoreProtect" localSheetId="30">#REF!</definedName>
    <definedName name="ShoreProtect">#REF!</definedName>
    <definedName name="Site_Selection">[3]Inputs!$E$10</definedName>
    <definedName name="Site_Spectral_Parameter">[3]Inputs!$E$11</definedName>
    <definedName name="solver_cvg" localSheetId="6" hidden="1">0.0001</definedName>
    <definedName name="solver_drv" localSheetId="6" hidden="1">1</definedName>
    <definedName name="solver_est" localSheetId="6" hidden="1">1</definedName>
    <definedName name="solver_itr" localSheetId="6" hidden="1">100</definedName>
    <definedName name="solver_lhs1" localSheetId="6" hidden="1">'Performance &amp; Economics'!#REF!</definedName>
    <definedName name="solver_lhs2" localSheetId="6" hidden="1">'Performance &amp; Economics'!#REF!</definedName>
    <definedName name="solver_lin" localSheetId="6" hidden="1">2</definedName>
    <definedName name="solver_neg" localSheetId="6" hidden="1">2</definedName>
    <definedName name="solver_num" localSheetId="6" hidden="1">0</definedName>
    <definedName name="solver_nwt" localSheetId="6" hidden="1">1</definedName>
    <definedName name="solver_pre" localSheetId="6" hidden="1">0.001</definedName>
    <definedName name="solver_rel1" localSheetId="6" hidden="1">1</definedName>
    <definedName name="solver_rel2" localSheetId="6" hidden="1">3</definedName>
    <definedName name="solver_rhs1" localSheetId="6" hidden="1">360</definedName>
    <definedName name="solver_rhs2" localSheetId="6" hidden="1">0</definedName>
    <definedName name="solver_scl" localSheetId="6" hidden="1">2</definedName>
    <definedName name="solver_sho" localSheetId="6" hidden="1">2</definedName>
    <definedName name="solver_tim" localSheetId="6" hidden="1">100</definedName>
    <definedName name="solver_tol" localSheetId="6" hidden="1">0.05</definedName>
    <definedName name="solver_typ" localSheetId="6" hidden="1">1</definedName>
    <definedName name="solver_val" localSheetId="6" hidden="1">0</definedName>
    <definedName name="SVTable1" localSheetId="10">#REF!</definedName>
    <definedName name="SVTable1" localSheetId="12">#REF!</definedName>
    <definedName name="SVTable1" localSheetId="15">#REF!</definedName>
    <definedName name="SVTable1" localSheetId="17">#REF!</definedName>
    <definedName name="SVTable1" localSheetId="20">#REF!</definedName>
    <definedName name="SVTable1" localSheetId="19">#REF!</definedName>
    <definedName name="SVTable1" localSheetId="22">#REF!</definedName>
    <definedName name="SVTable1" localSheetId="30">#REF!</definedName>
    <definedName name="SVTable1">#REF!</definedName>
    <definedName name="TranUpgrade" localSheetId="10">#REF!</definedName>
    <definedName name="TranUpgrade" localSheetId="12">#REF!</definedName>
    <definedName name="TranUpgrade" localSheetId="15">#REF!</definedName>
    <definedName name="TranUpgrade" localSheetId="17">#REF!</definedName>
    <definedName name="TranUpgrade" localSheetId="20">#REF!</definedName>
    <definedName name="TranUpgrade" localSheetId="19">#REF!</definedName>
    <definedName name="TranUpgrade" localSheetId="22">#REF!</definedName>
    <definedName name="TranUpgrade" localSheetId="30">#REF!</definedName>
    <definedName name="TranUpgrade">#REF!</definedName>
    <definedName name="TrenchDist">[1]Master!$K$9</definedName>
    <definedName name="TurbineCapital" localSheetId="10">#REF!</definedName>
    <definedName name="TurbineCapital" localSheetId="12">#REF!</definedName>
    <definedName name="TurbineCapital" localSheetId="15">#REF!</definedName>
    <definedName name="TurbineCapital" localSheetId="17">#REF!</definedName>
    <definedName name="TurbineCapital" localSheetId="20">#REF!</definedName>
    <definedName name="TurbineCapital" localSheetId="19">#REF!</definedName>
    <definedName name="TurbineCapital" localSheetId="22">#REF!</definedName>
    <definedName name="TurbineCapital" localSheetId="30">#REF!</definedName>
    <definedName name="TurbineCapital">#REF!</definedName>
    <definedName name="VelFactor" localSheetId="10">#REF!</definedName>
    <definedName name="VelFactor" localSheetId="12">#REF!</definedName>
    <definedName name="VelFactor" localSheetId="15">#REF!</definedName>
    <definedName name="VelFactor" localSheetId="17">#REF!</definedName>
    <definedName name="VelFactor" localSheetId="20">#REF!</definedName>
    <definedName name="VelFactor" localSheetId="19">#REF!</definedName>
    <definedName name="VelFactor" localSheetId="22">#REF!</definedName>
    <definedName name="VelFactor" localSheetId="30">#REF!</definedName>
    <definedName name="VelFactor">#REF!</definedName>
    <definedName name="WaterDepth" localSheetId="10">#REF!</definedName>
    <definedName name="WaterDepth" localSheetId="12">#REF!</definedName>
    <definedName name="WaterDepth" localSheetId="15">#REF!</definedName>
    <definedName name="WaterDepth" localSheetId="17">#REF!</definedName>
    <definedName name="WaterDepth" localSheetId="20">#REF!</definedName>
    <definedName name="WaterDepth" localSheetId="19">#REF!</definedName>
    <definedName name="WaterDepth" localSheetId="22">#REF!</definedName>
    <definedName name="WaterDepth" localSheetId="30">#REF!</definedName>
    <definedName name="WaterDepth">#REF!</definedName>
  </definedNames>
  <calcPr calcId="145621"/>
</workbook>
</file>

<file path=xl/calcChain.xml><?xml version="1.0" encoding="utf-8"?>
<calcChain xmlns="http://schemas.openxmlformats.org/spreadsheetml/2006/main">
  <c r="M247" i="45" l="1"/>
  <c r="M246" i="45"/>
  <c r="M245" i="45"/>
  <c r="M244" i="45"/>
  <c r="M243" i="45"/>
  <c r="M242" i="45"/>
  <c r="M241" i="45"/>
  <c r="M240" i="45"/>
  <c r="M239" i="45"/>
  <c r="M238" i="45"/>
  <c r="D250" i="45"/>
  <c r="E250" i="45"/>
  <c r="F250" i="45"/>
  <c r="D239" i="45"/>
  <c r="E239" i="45"/>
  <c r="F239" i="45"/>
  <c r="D240" i="45"/>
  <c r="E240" i="45"/>
  <c r="F240" i="45"/>
  <c r="D241" i="45"/>
  <c r="E241" i="45"/>
  <c r="F241" i="45"/>
  <c r="D242" i="45"/>
  <c r="E242" i="45"/>
  <c r="F242" i="45"/>
  <c r="D243" i="45"/>
  <c r="E243" i="45"/>
  <c r="F243" i="45"/>
  <c r="D244" i="45"/>
  <c r="E244" i="45"/>
  <c r="F244" i="45"/>
  <c r="D245" i="45"/>
  <c r="E245" i="45"/>
  <c r="F245" i="45"/>
  <c r="D246" i="45"/>
  <c r="E246" i="45"/>
  <c r="F246" i="45"/>
  <c r="D247" i="45"/>
  <c r="E247" i="45"/>
  <c r="F247" i="45"/>
  <c r="D248" i="45"/>
  <c r="E248" i="45"/>
  <c r="F248" i="45"/>
  <c r="C245" i="45"/>
  <c r="C244" i="45"/>
  <c r="C243" i="45"/>
  <c r="C242" i="45"/>
  <c r="C241" i="45"/>
  <c r="C240" i="45"/>
  <c r="C239" i="45"/>
  <c r="B243" i="45"/>
  <c r="B241" i="45"/>
  <c r="B240" i="45"/>
  <c r="B239" i="45"/>
  <c r="M211" i="45"/>
  <c r="M210" i="45"/>
  <c r="M209" i="45"/>
  <c r="M208" i="45"/>
  <c r="M207" i="45"/>
  <c r="B151" i="45" l="1"/>
  <c r="B317" i="45" l="1"/>
  <c r="B316" i="45"/>
  <c r="B315" i="45"/>
  <c r="J52" i="1"/>
  <c r="B313" i="45"/>
  <c r="B311" i="45"/>
  <c r="B312" i="45"/>
  <c r="H41" i="2" l="1"/>
  <c r="G10" i="12"/>
  <c r="E22" i="12"/>
  <c r="L56" i="1"/>
  <c r="G22" i="12"/>
  <c r="H4" i="12"/>
  <c r="P56" i="1"/>
  <c r="E15" i="31"/>
  <c r="E20" i="31"/>
  <c r="E19" i="31"/>
  <c r="J2" i="23" s="1"/>
  <c r="L2" i="23" s="1"/>
  <c r="G4" i="12"/>
  <c r="N56" i="1"/>
  <c r="E4" i="12"/>
  <c r="J56" i="1"/>
  <c r="J54" i="1"/>
  <c r="J56" i="23"/>
  <c r="A57" i="23"/>
  <c r="A58" i="23"/>
  <c r="A59" i="23"/>
  <c r="A60" i="23"/>
  <c r="A61" i="23"/>
  <c r="A62" i="23"/>
  <c r="A56" i="23"/>
  <c r="C58" i="23"/>
  <c r="C59" i="23"/>
  <c r="C60" i="23"/>
  <c r="C61" i="23"/>
  <c r="C62" i="23"/>
  <c r="I54" i="23"/>
  <c r="I32" i="23"/>
  <c r="I26" i="23"/>
  <c r="I27" i="23"/>
  <c r="I28" i="23"/>
  <c r="I29" i="23"/>
  <c r="I30" i="23"/>
  <c r="I31" i="23"/>
  <c r="I33" i="23"/>
  <c r="I34" i="23"/>
  <c r="I35" i="23"/>
  <c r="I36" i="23"/>
  <c r="I37" i="23"/>
  <c r="I38" i="23"/>
  <c r="I39" i="23"/>
  <c r="I40" i="23"/>
  <c r="I41" i="23"/>
  <c r="I25" i="23"/>
  <c r="H29" i="31"/>
  <c r="H30" i="31"/>
  <c r="H31" i="31"/>
  <c r="H32" i="31"/>
  <c r="H33" i="31"/>
  <c r="H34" i="31"/>
  <c r="F36" i="31"/>
  <c r="F39" i="31"/>
  <c r="E9" i="23"/>
  <c r="E10" i="23"/>
  <c r="E11" i="23"/>
  <c r="E8" i="23"/>
  <c r="D12" i="23"/>
  <c r="D13" i="23"/>
  <c r="D15" i="23"/>
  <c r="D16" i="23"/>
  <c r="D17" i="23"/>
  <c r="D18" i="23"/>
  <c r="D19" i="23"/>
  <c r="D21" i="23"/>
  <c r="D22" i="23"/>
  <c r="D23" i="23"/>
  <c r="D24" i="23"/>
  <c r="D26" i="23"/>
  <c r="D27" i="23"/>
  <c r="D28" i="23"/>
  <c r="D29" i="23"/>
  <c r="D30" i="23"/>
  <c r="D31" i="23"/>
  <c r="D33" i="23"/>
  <c r="D34" i="23"/>
  <c r="D35" i="23"/>
  <c r="D36" i="23"/>
  <c r="D37" i="23"/>
  <c r="D38" i="23"/>
  <c r="D39" i="23"/>
  <c r="D40" i="23"/>
  <c r="D41" i="23"/>
  <c r="D42" i="23"/>
  <c r="D45" i="23"/>
  <c r="D46" i="23"/>
  <c r="D47" i="23"/>
  <c r="D48" i="23"/>
  <c r="D49" i="23"/>
  <c r="D50" i="23"/>
  <c r="A6"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 i="23"/>
  <c r="C51" i="23"/>
  <c r="C52" i="23"/>
  <c r="C14" i="23"/>
  <c r="C20" i="23"/>
  <c r="C25" i="23"/>
  <c r="C32" i="23"/>
  <c r="C43" i="23"/>
  <c r="C44" i="23"/>
  <c r="P4" i="1"/>
  <c r="L23" i="1"/>
  <c r="P23" i="1"/>
  <c r="J1" i="22"/>
  <c r="J45" i="22"/>
  <c r="C147" i="45"/>
  <c r="L1" i="22"/>
  <c r="L45" i="22"/>
  <c r="D147" i="45"/>
  <c r="N1" i="22"/>
  <c r="N45" i="22"/>
  <c r="E147" i="45"/>
  <c r="P1" i="22"/>
  <c r="P45" i="22"/>
  <c r="F147" i="45"/>
  <c r="J46" i="22"/>
  <c r="C148" i="45"/>
  <c r="L46" i="22"/>
  <c r="D148" i="45"/>
  <c r="N46" i="22"/>
  <c r="E148" i="45"/>
  <c r="P46" i="22"/>
  <c r="F148" i="45"/>
  <c r="J47" i="22"/>
  <c r="C149" i="45"/>
  <c r="L47" i="22"/>
  <c r="D149" i="45"/>
  <c r="N47" i="22"/>
  <c r="E149" i="45"/>
  <c r="P47" i="22"/>
  <c r="F149" i="45"/>
  <c r="J48" i="22"/>
  <c r="C150" i="45"/>
  <c r="L48" i="22"/>
  <c r="D150" i="45"/>
  <c r="N48" i="22"/>
  <c r="E150" i="45"/>
  <c r="P48" i="22"/>
  <c r="F150" i="45"/>
  <c r="J49" i="22"/>
  <c r="C151" i="45"/>
  <c r="L49" i="22"/>
  <c r="D151" i="45"/>
  <c r="N49" i="22"/>
  <c r="E151" i="45"/>
  <c r="P49" i="22"/>
  <c r="F151" i="45"/>
  <c r="H139" i="45"/>
  <c r="G140" i="45"/>
  <c r="H140" i="45"/>
  <c r="G141" i="45"/>
  <c r="H141" i="45"/>
  <c r="F141" i="45"/>
  <c r="F140" i="45"/>
  <c r="G136" i="45"/>
  <c r="G130" i="45"/>
  <c r="H130" i="45"/>
  <c r="G131" i="45"/>
  <c r="H131" i="45"/>
  <c r="G132" i="45"/>
  <c r="H132" i="45"/>
  <c r="G133" i="45"/>
  <c r="H133" i="45"/>
  <c r="G134" i="45"/>
  <c r="H134" i="45"/>
  <c r="G135" i="45"/>
  <c r="H135" i="45"/>
  <c r="F135" i="45"/>
  <c r="F134" i="45"/>
  <c r="F133" i="45"/>
  <c r="F132" i="45"/>
  <c r="F131" i="45"/>
  <c r="F130" i="45"/>
  <c r="H127" i="45"/>
  <c r="G121" i="45"/>
  <c r="H121" i="45"/>
  <c r="G122" i="45"/>
  <c r="H122" i="45"/>
  <c r="G123" i="45"/>
  <c r="H123" i="45"/>
  <c r="G118" i="45"/>
  <c r="H118" i="45"/>
  <c r="F123" i="45"/>
  <c r="F122" i="45"/>
  <c r="F121" i="45"/>
  <c r="F119" i="45"/>
  <c r="F118" i="45"/>
  <c r="J20" i="22"/>
  <c r="C93" i="45"/>
  <c r="M93" i="45"/>
  <c r="J21" i="22"/>
  <c r="C94" i="45"/>
  <c r="M96" i="45"/>
  <c r="J22" i="22"/>
  <c r="C95" i="45"/>
  <c r="M97" i="45"/>
  <c r="J23" i="22"/>
  <c r="C96" i="45"/>
  <c r="M98" i="45"/>
  <c r="M94" i="45"/>
  <c r="M95" i="45"/>
  <c r="M99" i="45"/>
  <c r="Q94" i="45"/>
  <c r="L20" i="22"/>
  <c r="D93" i="45"/>
  <c r="N93" i="45"/>
  <c r="L21" i="22"/>
  <c r="D94" i="45"/>
  <c r="N96" i="45"/>
  <c r="L22" i="22"/>
  <c r="D95" i="45"/>
  <c r="N97" i="45"/>
  <c r="L23" i="22"/>
  <c r="D96" i="45"/>
  <c r="N98" i="45"/>
  <c r="N94" i="45"/>
  <c r="N95" i="45"/>
  <c r="N99" i="45"/>
  <c r="R94" i="45"/>
  <c r="N20" i="22"/>
  <c r="E93" i="45"/>
  <c r="O93" i="45"/>
  <c r="N21" i="22"/>
  <c r="E94" i="45"/>
  <c r="O96" i="45"/>
  <c r="N22" i="22"/>
  <c r="E95" i="45"/>
  <c r="O97" i="45"/>
  <c r="N23" i="22"/>
  <c r="E96" i="45"/>
  <c r="O98" i="45"/>
  <c r="O94" i="45"/>
  <c r="O95" i="45"/>
  <c r="O99" i="45"/>
  <c r="S94" i="45"/>
  <c r="P20" i="22"/>
  <c r="F93" i="45"/>
  <c r="P93" i="45"/>
  <c r="P21" i="22"/>
  <c r="F94" i="45"/>
  <c r="P96" i="45"/>
  <c r="P22" i="22"/>
  <c r="F95" i="45"/>
  <c r="P97" i="45"/>
  <c r="P23" i="22"/>
  <c r="F96" i="45"/>
  <c r="P98" i="45"/>
  <c r="P94" i="45"/>
  <c r="P95" i="45"/>
  <c r="P99" i="45"/>
  <c r="T94" i="45"/>
  <c r="Q95" i="45"/>
  <c r="R95" i="45"/>
  <c r="S95" i="45"/>
  <c r="T95" i="45"/>
  <c r="Q96" i="45"/>
  <c r="R96" i="45"/>
  <c r="S96" i="45"/>
  <c r="T96" i="45"/>
  <c r="Q97" i="45"/>
  <c r="R97" i="45"/>
  <c r="S97" i="45"/>
  <c r="T97" i="45"/>
  <c r="Q98" i="45"/>
  <c r="Q93" i="45"/>
  <c r="Q100" i="45"/>
  <c r="R98" i="45"/>
  <c r="S98" i="45"/>
  <c r="T98" i="45"/>
  <c r="T93" i="45"/>
  <c r="S93" i="45"/>
  <c r="R93" i="45"/>
  <c r="F10" i="35"/>
  <c r="L68" i="35"/>
  <c r="D67" i="45"/>
  <c r="D65" i="45"/>
  <c r="D74" i="45"/>
  <c r="D68" i="45"/>
  <c r="D69" i="45"/>
  <c r="D72" i="45"/>
  <c r="D73" i="45"/>
  <c r="D71" i="45"/>
  <c r="D70" i="45"/>
  <c r="D62" i="45"/>
  <c r="D64" i="45"/>
  <c r="D66" i="45"/>
  <c r="D63" i="45"/>
  <c r="C63" i="45"/>
  <c r="C67" i="45"/>
  <c r="C65" i="45"/>
  <c r="C74" i="45"/>
  <c r="C68" i="45"/>
  <c r="C69" i="45"/>
  <c r="C72" i="45"/>
  <c r="C73" i="45"/>
  <c r="C71" i="45"/>
  <c r="C70" i="45"/>
  <c r="C62" i="45"/>
  <c r="C64" i="45"/>
  <c r="C66" i="45"/>
  <c r="B67" i="45"/>
  <c r="B65" i="45"/>
  <c r="B74" i="45"/>
  <c r="B68" i="45"/>
  <c r="B69" i="45"/>
  <c r="B72" i="45"/>
  <c r="B73" i="45"/>
  <c r="B71" i="45"/>
  <c r="B70" i="45"/>
  <c r="B62" i="45"/>
  <c r="B64" i="45"/>
  <c r="B66" i="45"/>
  <c r="B63" i="45"/>
  <c r="J31" i="22"/>
  <c r="J41" i="22"/>
  <c r="C37" i="45"/>
  <c r="L41" i="22"/>
  <c r="D37" i="45"/>
  <c r="N41" i="22"/>
  <c r="E37" i="45"/>
  <c r="P41" i="22"/>
  <c r="F37" i="45"/>
  <c r="D41" i="22"/>
  <c r="B37" i="45"/>
  <c r="D40" i="22"/>
  <c r="B36" i="45"/>
  <c r="I33" i="22"/>
  <c r="J33" i="22"/>
  <c r="L33" i="22"/>
  <c r="N33" i="22"/>
  <c r="P33" i="22"/>
  <c r="I34" i="22"/>
  <c r="J34" i="22"/>
  <c r="L34" i="22"/>
  <c r="N34" i="22"/>
  <c r="P34" i="22"/>
  <c r="I35" i="22"/>
  <c r="J35" i="22"/>
  <c r="L35" i="22"/>
  <c r="N35" i="22"/>
  <c r="P35" i="22"/>
  <c r="I36" i="22"/>
  <c r="J36" i="22"/>
  <c r="L36" i="22"/>
  <c r="N36" i="22"/>
  <c r="P36" i="22"/>
  <c r="I37" i="22"/>
  <c r="J37" i="22"/>
  <c r="L37" i="22"/>
  <c r="N37" i="22"/>
  <c r="P37" i="22"/>
  <c r="I38" i="22"/>
  <c r="J38" i="22"/>
  <c r="L38" i="22"/>
  <c r="N38" i="22"/>
  <c r="P38" i="22"/>
  <c r="I39" i="22"/>
  <c r="J39" i="22"/>
  <c r="L39" i="22"/>
  <c r="N39" i="22"/>
  <c r="P39" i="22"/>
  <c r="I40" i="22"/>
  <c r="J40" i="22"/>
  <c r="L40" i="22"/>
  <c r="N40" i="22"/>
  <c r="P40" i="22"/>
  <c r="I41" i="22"/>
  <c r="I32" i="22"/>
  <c r="A6" i="22"/>
  <c r="A7" i="22"/>
  <c r="A8" i="22"/>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 i="22"/>
  <c r="D33" i="22"/>
  <c r="D34" i="22"/>
  <c r="D35" i="22"/>
  <c r="D36" i="22"/>
  <c r="D37" i="22"/>
  <c r="D38" i="22"/>
  <c r="D39" i="22"/>
  <c r="D15" i="22"/>
  <c r="D16" i="22"/>
  <c r="D17" i="22"/>
  <c r="D18" i="22"/>
  <c r="D26" i="22"/>
  <c r="B5" i="45"/>
  <c r="D27" i="22"/>
  <c r="B6" i="45"/>
  <c r="D28" i="22"/>
  <c r="B7" i="45"/>
  <c r="D29" i="22"/>
  <c r="B8" i="45"/>
  <c r="D30" i="22"/>
  <c r="B9" i="45"/>
  <c r="E28" i="35"/>
  <c r="W75" i="35"/>
  <c r="X75" i="35"/>
  <c r="Y75" i="35"/>
  <c r="T75" i="35"/>
  <c r="L38" i="35"/>
  <c r="O30" i="35"/>
  <c r="L30" i="35"/>
  <c r="D51" i="34"/>
  <c r="H39" i="34"/>
  <c r="H72" i="34"/>
  <c r="F72" i="34"/>
  <c r="G72" i="34"/>
  <c r="E72" i="34"/>
  <c r="F61" i="34"/>
  <c r="G61" i="34"/>
  <c r="H61" i="34"/>
  <c r="E61" i="34"/>
  <c r="F39" i="34"/>
  <c r="G39" i="34"/>
  <c r="E39" i="34"/>
  <c r="M36" i="35"/>
  <c r="N36" i="35"/>
  <c r="F27" i="35"/>
  <c r="L57" i="35"/>
  <c r="M57" i="35"/>
  <c r="L56" i="35"/>
  <c r="M56" i="35"/>
  <c r="L55" i="35"/>
  <c r="M55" i="35"/>
  <c r="L54" i="35"/>
  <c r="M54" i="35"/>
  <c r="W76" i="35"/>
  <c r="X76" i="35"/>
  <c r="Y76" i="35"/>
  <c r="W77" i="35"/>
  <c r="X77" i="35"/>
  <c r="Y77" i="35"/>
  <c r="W78" i="35"/>
  <c r="X78" i="35"/>
  <c r="Y78" i="35"/>
  <c r="L44" i="35"/>
  <c r="O44" i="35"/>
  <c r="M43" i="35"/>
  <c r="N43" i="35"/>
  <c r="O43" i="35"/>
  <c r="L67" i="35"/>
  <c r="H7" i="2"/>
  <c r="F7" i="2"/>
  <c r="G7" i="2"/>
  <c r="E7" i="2"/>
  <c r="H57" i="2"/>
  <c r="H56" i="2"/>
  <c r="H42" i="2"/>
  <c r="H43" i="2"/>
  <c r="H44" i="2"/>
  <c r="H45" i="2"/>
  <c r="H46" i="2"/>
  <c r="H47" i="2"/>
  <c r="H48" i="2"/>
  <c r="H49" i="2"/>
  <c r="H50" i="2"/>
  <c r="H24" i="2"/>
  <c r="H25" i="2"/>
  <c r="H26" i="2"/>
  <c r="H27" i="2"/>
  <c r="H28" i="2"/>
  <c r="H29" i="2"/>
  <c r="H30" i="2"/>
  <c r="H31" i="2"/>
  <c r="H32" i="2"/>
  <c r="H33" i="2"/>
  <c r="H34" i="2"/>
  <c r="H23" i="2"/>
  <c r="H16" i="2"/>
  <c r="H17" i="2"/>
  <c r="H18" i="2"/>
  <c r="H20" i="2"/>
  <c r="H15" i="2"/>
  <c r="O47" i="35"/>
  <c r="P47" i="35"/>
  <c r="P44" i="35"/>
  <c r="P45" i="35"/>
  <c r="O45" i="35"/>
  <c r="I27" i="35"/>
  <c r="P43" i="35"/>
  <c r="H27" i="35"/>
  <c r="G27" i="35"/>
  <c r="N44" i="35"/>
  <c r="M44" i="35"/>
  <c r="M45" i="35"/>
  <c r="M46" i="35"/>
  <c r="M49" i="35"/>
  <c r="L47" i="35"/>
  <c r="L45" i="35"/>
  <c r="L46" i="35"/>
  <c r="L49" i="35"/>
  <c r="N45" i="35"/>
  <c r="N46" i="35"/>
  <c r="N49" i="35"/>
  <c r="N47" i="35"/>
  <c r="O46" i="35"/>
  <c r="O49" i="35"/>
  <c r="M47" i="35"/>
  <c r="L49" i="1"/>
  <c r="P49" i="1"/>
  <c r="E22" i="35"/>
  <c r="G17" i="35"/>
  <c r="G14" i="12"/>
  <c r="G17" i="12"/>
  <c r="G18" i="12"/>
  <c r="G11" i="12"/>
  <c r="G15" i="12"/>
  <c r="G19" i="12"/>
  <c r="F53" i="2"/>
  <c r="F41" i="2"/>
  <c r="F52" i="2"/>
  <c r="L53" i="2"/>
  <c r="L52" i="2"/>
  <c r="E11" i="12"/>
  <c r="F11" i="12"/>
  <c r="F22" i="12"/>
  <c r="E12" i="12"/>
  <c r="F12" i="12"/>
  <c r="G12" i="12"/>
  <c r="E13" i="12"/>
  <c r="F13" i="12"/>
  <c r="G13" i="12"/>
  <c r="E14" i="12"/>
  <c r="F14" i="12"/>
  <c r="E15" i="12"/>
  <c r="F15" i="12"/>
  <c r="E16" i="12"/>
  <c r="F16" i="12"/>
  <c r="G16" i="12"/>
  <c r="E17" i="12"/>
  <c r="F17" i="12"/>
  <c r="E18" i="12"/>
  <c r="F18" i="12"/>
  <c r="E19" i="12"/>
  <c r="F19" i="12"/>
  <c r="F10" i="12"/>
  <c r="E10" i="12"/>
  <c r="D7" i="16"/>
  <c r="D10" i="16"/>
  <c r="D9" i="16"/>
  <c r="D8" i="16"/>
  <c r="D129" i="15"/>
  <c r="G129" i="15"/>
  <c r="C129" i="15"/>
  <c r="C130" i="15"/>
  <c r="H130" i="15"/>
  <c r="I130" i="15"/>
  <c r="H129" i="15"/>
  <c r="I128" i="15"/>
  <c r="H128" i="15"/>
  <c r="H127" i="15"/>
  <c r="I127" i="15"/>
  <c r="H125" i="15"/>
  <c r="I125" i="15"/>
  <c r="H124" i="15"/>
  <c r="I124" i="15"/>
  <c r="H123" i="15"/>
  <c r="I123" i="15"/>
  <c r="H120" i="15"/>
  <c r="H119" i="15"/>
  <c r="H118" i="15"/>
  <c r="H114" i="15"/>
  <c r="H113" i="15"/>
  <c r="H112" i="15"/>
  <c r="H111" i="15"/>
  <c r="I111" i="15"/>
  <c r="D96" i="15"/>
  <c r="C96" i="15"/>
  <c r="C97" i="15"/>
  <c r="H97" i="15"/>
  <c r="I97" i="15"/>
  <c r="H96" i="15"/>
  <c r="G96" i="15"/>
  <c r="H95" i="15"/>
  <c r="I95" i="15"/>
  <c r="H94" i="15"/>
  <c r="I94" i="15"/>
  <c r="H92" i="15"/>
  <c r="I92" i="15"/>
  <c r="H91" i="15"/>
  <c r="I91" i="15"/>
  <c r="H90" i="15"/>
  <c r="I90" i="15"/>
  <c r="H87" i="15"/>
  <c r="H86" i="15"/>
  <c r="H85" i="15"/>
  <c r="H81" i="15"/>
  <c r="H80" i="15"/>
  <c r="H79" i="15"/>
  <c r="H78" i="15"/>
  <c r="H99" i="15"/>
  <c r="D40" i="15"/>
  <c r="D74" i="15"/>
  <c r="D107" i="15"/>
  <c r="D39" i="15"/>
  <c r="D73" i="15"/>
  <c r="D106" i="15"/>
  <c r="D38" i="15"/>
  <c r="D72" i="15"/>
  <c r="D105" i="15"/>
  <c r="D63" i="15"/>
  <c r="C63" i="15"/>
  <c r="C64" i="15"/>
  <c r="L33" i="35"/>
  <c r="L37" i="35"/>
  <c r="K68" i="35"/>
  <c r="P46" i="35"/>
  <c r="P49" i="35"/>
  <c r="M33" i="35"/>
  <c r="L34" i="35"/>
  <c r="L35" i="35"/>
  <c r="M35" i="35"/>
  <c r="N35" i="35"/>
  <c r="I132" i="15"/>
  <c r="H132" i="15"/>
  <c r="I78" i="15"/>
  <c r="I99" i="15"/>
  <c r="D28" i="35"/>
  <c r="F28" i="35"/>
  <c r="N33" i="35"/>
  <c r="N37" i="35"/>
  <c r="M37" i="35"/>
  <c r="L36" i="35"/>
  <c r="H64" i="15"/>
  <c r="I64" i="15"/>
  <c r="H63" i="15"/>
  <c r="G63" i="15"/>
  <c r="H62" i="15"/>
  <c r="I62" i="15"/>
  <c r="H61" i="15"/>
  <c r="I61" i="15"/>
  <c r="H59" i="15"/>
  <c r="I59" i="15"/>
  <c r="H58" i="15"/>
  <c r="I58" i="15"/>
  <c r="H57" i="15"/>
  <c r="I57" i="15"/>
  <c r="H54" i="15"/>
  <c r="H53" i="15"/>
  <c r="H52" i="15"/>
  <c r="H48" i="15"/>
  <c r="H47" i="15"/>
  <c r="H46" i="15"/>
  <c r="H45" i="15"/>
  <c r="I45" i="15"/>
  <c r="H32" i="15"/>
  <c r="H31" i="15"/>
  <c r="D31" i="15"/>
  <c r="H30" i="15"/>
  <c r="I30" i="15"/>
  <c r="H29" i="15"/>
  <c r="I29" i="15"/>
  <c r="H27" i="15"/>
  <c r="I27" i="15"/>
  <c r="H26" i="15"/>
  <c r="I26" i="15"/>
  <c r="H25" i="15"/>
  <c r="I25" i="15"/>
  <c r="H16" i="15"/>
  <c r="H20" i="15"/>
  <c r="H21" i="15"/>
  <c r="H22" i="15"/>
  <c r="H13" i="15"/>
  <c r="G28" i="35"/>
  <c r="I28" i="35"/>
  <c r="H28" i="35"/>
  <c r="D26" i="35"/>
  <c r="F26" i="35"/>
  <c r="F29" i="35"/>
  <c r="D27" i="35"/>
  <c r="N38" i="35"/>
  <c r="H66" i="15"/>
  <c r="G31" i="15"/>
  <c r="M38" i="35"/>
  <c r="I66" i="15"/>
  <c r="I32" i="15"/>
  <c r="G26" i="35"/>
  <c r="I26" i="35"/>
  <c r="H26" i="35"/>
  <c r="L16" i="35"/>
  <c r="F30" i="35"/>
  <c r="H30" i="35"/>
  <c r="H29" i="35"/>
  <c r="I30" i="35"/>
  <c r="I29" i="35"/>
  <c r="I5" i="35"/>
  <c r="G29" i="35"/>
  <c r="G30" i="35"/>
  <c r="P24" i="37"/>
  <c r="P25" i="37"/>
  <c r="P26" i="37"/>
  <c r="P28" i="37"/>
  <c r="P29" i="37"/>
  <c r="P30" i="37"/>
  <c r="P31" i="37"/>
  <c r="P32" i="37"/>
  <c r="P33" i="37"/>
  <c r="P34" i="37"/>
  <c r="P35" i="37"/>
  <c r="P38" i="37"/>
  <c r="P39" i="37"/>
  <c r="P41" i="37"/>
  <c r="P42" i="37"/>
  <c r="P43" i="37"/>
  <c r="P44" i="37"/>
  <c r="P45" i="37"/>
  <c r="P46" i="37"/>
  <c r="P23" i="37"/>
  <c r="C30" i="15"/>
  <c r="C17" i="15"/>
  <c r="C18" i="15"/>
  <c r="C19" i="15"/>
  <c r="C20" i="15"/>
  <c r="C21" i="15"/>
  <c r="C22" i="15"/>
  <c r="C23" i="15"/>
  <c r="C26" i="15"/>
  <c r="C27" i="15"/>
  <c r="C25" i="15"/>
  <c r="C14" i="15"/>
  <c r="C29" i="15"/>
  <c r="C15" i="15"/>
  <c r="C16" i="15"/>
  <c r="C13" i="15"/>
  <c r="E9" i="15"/>
  <c r="D70" i="13"/>
  <c r="D26" i="13"/>
  <c r="C57" i="15"/>
  <c r="E57" i="15"/>
  <c r="C90" i="15"/>
  <c r="E90" i="15"/>
  <c r="C123" i="15"/>
  <c r="E123" i="15"/>
  <c r="C120" i="15"/>
  <c r="E120" i="15"/>
  <c r="C87" i="15"/>
  <c r="E87" i="15"/>
  <c r="C59" i="15"/>
  <c r="E59" i="15"/>
  <c r="C125" i="15"/>
  <c r="E125" i="15"/>
  <c r="C92" i="15"/>
  <c r="E92" i="15"/>
  <c r="C115" i="15"/>
  <c r="E115" i="15"/>
  <c r="C82" i="15"/>
  <c r="E82" i="15"/>
  <c r="C118" i="15"/>
  <c r="E118" i="15"/>
  <c r="C85" i="15"/>
  <c r="E85" i="15"/>
  <c r="C111" i="15"/>
  <c r="E111" i="15"/>
  <c r="C78" i="15"/>
  <c r="E78" i="15"/>
  <c r="C112" i="15"/>
  <c r="E112" i="15"/>
  <c r="C79" i="15"/>
  <c r="E79" i="15"/>
  <c r="C121" i="15"/>
  <c r="E121" i="15"/>
  <c r="C88" i="15"/>
  <c r="E88" i="15"/>
  <c r="C117" i="15"/>
  <c r="E117" i="15"/>
  <c r="C84" i="15"/>
  <c r="E84" i="15"/>
  <c r="C114" i="15"/>
  <c r="E114" i="15"/>
  <c r="C81" i="15"/>
  <c r="E81" i="15"/>
  <c r="C116" i="15"/>
  <c r="E116" i="15"/>
  <c r="C83" i="15"/>
  <c r="E83" i="15"/>
  <c r="C113" i="15"/>
  <c r="E113" i="15"/>
  <c r="C80" i="15"/>
  <c r="E80" i="15"/>
  <c r="C86" i="15"/>
  <c r="E86" i="15"/>
  <c r="C119" i="15"/>
  <c r="E119" i="15"/>
  <c r="C61" i="15"/>
  <c r="E61" i="15"/>
  <c r="C127" i="15"/>
  <c r="E127" i="15"/>
  <c r="C94" i="15"/>
  <c r="E94" i="15"/>
  <c r="C58" i="15"/>
  <c r="E58" i="15"/>
  <c r="C91" i="15"/>
  <c r="E91" i="15"/>
  <c r="C124" i="15"/>
  <c r="E124" i="15"/>
  <c r="C62" i="15"/>
  <c r="E62" i="15"/>
  <c r="C128" i="15"/>
  <c r="E128" i="15"/>
  <c r="C95" i="15"/>
  <c r="E95" i="15"/>
  <c r="E16" i="15"/>
  <c r="C48" i="15"/>
  <c r="E22" i="15"/>
  <c r="C54" i="15"/>
  <c r="E18" i="15"/>
  <c r="C50" i="15"/>
  <c r="E15" i="15"/>
  <c r="C47" i="15"/>
  <c r="E21" i="15"/>
  <c r="C53" i="15"/>
  <c r="E17" i="15"/>
  <c r="C49" i="15"/>
  <c r="E20" i="15"/>
  <c r="C52" i="15"/>
  <c r="E13" i="15"/>
  <c r="C45" i="15"/>
  <c r="E14" i="15"/>
  <c r="C46" i="15"/>
  <c r="E46" i="15"/>
  <c r="E23" i="15"/>
  <c r="C55" i="15"/>
  <c r="E19" i="15"/>
  <c r="C51" i="15"/>
  <c r="D19" i="15"/>
  <c r="D15" i="15"/>
  <c r="D14" i="15"/>
  <c r="D23" i="15"/>
  <c r="D13" i="15"/>
  <c r="D20" i="15"/>
  <c r="D16" i="15"/>
  <c r="E25" i="15"/>
  <c r="D25" i="15"/>
  <c r="E27" i="15"/>
  <c r="D22" i="15"/>
  <c r="D18" i="15"/>
  <c r="E29" i="15"/>
  <c r="D29" i="15"/>
  <c r="E26" i="15"/>
  <c r="D26" i="15"/>
  <c r="D30" i="15"/>
  <c r="E30" i="15"/>
  <c r="D21" i="15"/>
  <c r="D17" i="15"/>
  <c r="D86" i="15"/>
  <c r="G86" i="15"/>
  <c r="D119" i="15"/>
  <c r="G119" i="15"/>
  <c r="D54" i="15"/>
  <c r="D87" i="15"/>
  <c r="G87" i="15"/>
  <c r="D120" i="15"/>
  <c r="G120" i="15"/>
  <c r="D61" i="15"/>
  <c r="G61" i="15"/>
  <c r="D127" i="15"/>
  <c r="D94" i="15"/>
  <c r="G94" i="15"/>
  <c r="D46" i="15"/>
  <c r="G46" i="15"/>
  <c r="D79" i="15"/>
  <c r="G79" i="15"/>
  <c r="D112" i="15"/>
  <c r="G112" i="15"/>
  <c r="D62" i="15"/>
  <c r="G62" i="15"/>
  <c r="D95" i="15"/>
  <c r="G95" i="15"/>
  <c r="D128" i="15"/>
  <c r="G128" i="15"/>
  <c r="D118" i="15"/>
  <c r="G118" i="15"/>
  <c r="D85" i="15"/>
  <c r="G85" i="15"/>
  <c r="D47" i="15"/>
  <c r="D113" i="15"/>
  <c r="G113" i="15"/>
  <c r="D80" i="15"/>
  <c r="G80" i="15"/>
  <c r="D51" i="15"/>
  <c r="D84" i="15"/>
  <c r="D117" i="15"/>
  <c r="D55" i="15"/>
  <c r="D121" i="15"/>
  <c r="D88" i="15"/>
  <c r="D48" i="15"/>
  <c r="D114" i="15"/>
  <c r="G114" i="15"/>
  <c r="D81" i="15"/>
  <c r="G81" i="15"/>
  <c r="D49" i="15"/>
  <c r="D115" i="15"/>
  <c r="D82" i="15"/>
  <c r="D50" i="15"/>
  <c r="D83" i="15"/>
  <c r="D116" i="15"/>
  <c r="D111" i="15"/>
  <c r="G111" i="15"/>
  <c r="D78" i="15"/>
  <c r="D45" i="15"/>
  <c r="G21" i="15"/>
  <c r="D53" i="15"/>
  <c r="G20" i="15"/>
  <c r="D52" i="15"/>
  <c r="G22" i="15"/>
  <c r="G16" i="15"/>
  <c r="E55" i="15"/>
  <c r="E45" i="15"/>
  <c r="E52" i="15"/>
  <c r="E49" i="15"/>
  <c r="E47" i="15"/>
  <c r="E54" i="15"/>
  <c r="E51" i="15"/>
  <c r="E53" i="15"/>
  <c r="E50" i="15"/>
  <c r="E48" i="15"/>
  <c r="G26" i="15"/>
  <c r="G25" i="15"/>
  <c r="G30" i="15"/>
  <c r="G29" i="15"/>
  <c r="G127" i="15"/>
  <c r="G78" i="15"/>
  <c r="G45" i="15"/>
  <c r="G48" i="15"/>
  <c r="G53" i="15"/>
  <c r="G52" i="15"/>
  <c r="G54" i="15"/>
  <c r="G47" i="15"/>
  <c r="D17" i="13"/>
  <c r="O93" i="36"/>
  <c r="L93" i="36"/>
  <c r="I93" i="36"/>
  <c r="F93" i="36"/>
  <c r="N46" i="37"/>
  <c r="N44" i="37"/>
  <c r="N43" i="37"/>
  <c r="O44" i="37"/>
  <c r="L5" i="37"/>
  <c r="L6" i="37"/>
  <c r="L7" i="37"/>
  <c r="L8" i="37"/>
  <c r="L9" i="37"/>
  <c r="L10" i="37"/>
  <c r="L11" i="37"/>
  <c r="L12" i="37"/>
  <c r="L13" i="37"/>
  <c r="L4" i="37"/>
  <c r="G5" i="37"/>
  <c r="G6" i="37"/>
  <c r="G7" i="37"/>
  <c r="G8" i="37"/>
  <c r="G9" i="37"/>
  <c r="G11" i="37"/>
  <c r="G13" i="37"/>
  <c r="G4" i="37"/>
  <c r="J4" i="37"/>
  <c r="D123" i="15"/>
  <c r="G123" i="15"/>
  <c r="F4" i="37"/>
  <c r="O46" i="37"/>
  <c r="G12" i="37"/>
  <c r="N4" i="37"/>
  <c r="K39" i="37"/>
  <c r="P59" i="2"/>
  <c r="P12" i="2"/>
  <c r="H35" i="2"/>
  <c r="G18" i="35"/>
  <c r="H18" i="35"/>
  <c r="I18" i="35"/>
  <c r="G19" i="35"/>
  <c r="H19" i="35"/>
  <c r="I19" i="35"/>
  <c r="M30" i="35"/>
  <c r="T76" i="35"/>
  <c r="N30" i="35"/>
  <c r="T77" i="35"/>
  <c r="T78" i="35"/>
  <c r="C16" i="12"/>
  <c r="C17" i="12"/>
  <c r="C18" i="12"/>
  <c r="C19" i="12"/>
  <c r="C15" i="12"/>
  <c r="A32" i="1"/>
  <c r="A33" i="1"/>
  <c r="A34" i="1"/>
  <c r="A35" i="1"/>
  <c r="A36" i="1"/>
  <c r="A37" i="1"/>
  <c r="A38" i="1"/>
  <c r="A39" i="1"/>
  <c r="A40" i="1"/>
  <c r="A31" i="1"/>
  <c r="D62" i="34"/>
  <c r="G56" i="34"/>
  <c r="E24" i="34"/>
  <c r="F24" i="34"/>
  <c r="F56" i="34"/>
  <c r="G24" i="34"/>
  <c r="H24" i="34"/>
  <c r="H56" i="34"/>
  <c r="E25" i="34"/>
  <c r="F25" i="34"/>
  <c r="G25" i="34"/>
  <c r="H25" i="34"/>
  <c r="F23" i="34"/>
  <c r="G23" i="34"/>
  <c r="H23" i="34"/>
  <c r="E23" i="34"/>
  <c r="D73" i="34"/>
  <c r="D26" i="1"/>
  <c r="D28" i="1"/>
  <c r="D29" i="1"/>
  <c r="D24" i="1"/>
  <c r="I9" i="34"/>
  <c r="I29" i="1"/>
  <c r="I8" i="34"/>
  <c r="I28" i="1"/>
  <c r="D4" i="34"/>
  <c r="D5" i="34"/>
  <c r="D25" i="1"/>
  <c r="D6" i="34"/>
  <c r="D7" i="34"/>
  <c r="D27" i="1"/>
  <c r="D8" i="34"/>
  <c r="D9" i="34"/>
  <c r="B9" i="34"/>
  <c r="B8" i="34"/>
  <c r="B7" i="34"/>
  <c r="B6" i="34"/>
  <c r="B5" i="34"/>
  <c r="B4" i="34"/>
  <c r="E89" i="34"/>
  <c r="F89" i="34"/>
  <c r="G89" i="34"/>
  <c r="H89" i="34"/>
  <c r="E90" i="34"/>
  <c r="F90" i="34"/>
  <c r="G90" i="34"/>
  <c r="H90" i="34"/>
  <c r="H88" i="34"/>
  <c r="G88" i="34"/>
  <c r="F88" i="34"/>
  <c r="E88" i="34"/>
  <c r="E78" i="34"/>
  <c r="F78" i="34"/>
  <c r="G78" i="34"/>
  <c r="H78" i="34"/>
  <c r="E79" i="34"/>
  <c r="F79" i="34"/>
  <c r="G79" i="34"/>
  <c r="H79" i="34"/>
  <c r="H77" i="34"/>
  <c r="G77" i="34"/>
  <c r="F77" i="34"/>
  <c r="E77" i="34"/>
  <c r="E66" i="34"/>
  <c r="H57" i="34"/>
  <c r="H55" i="34"/>
  <c r="G24" i="3"/>
  <c r="F24" i="3"/>
  <c r="G29" i="3"/>
  <c r="F29" i="3"/>
  <c r="E29" i="3"/>
  <c r="D29" i="3"/>
  <c r="G55" i="34"/>
  <c r="G57" i="34"/>
  <c r="E55" i="34"/>
  <c r="E44" i="34"/>
  <c r="F55" i="34"/>
  <c r="E57" i="34"/>
  <c r="H58" i="34"/>
  <c r="F57" i="34"/>
  <c r="F58" i="34"/>
  <c r="E56" i="34"/>
  <c r="G58" i="34"/>
  <c r="E58" i="34"/>
  <c r="N45" i="37"/>
  <c r="G10" i="37"/>
  <c r="O45" i="37"/>
  <c r="K35" i="37"/>
  <c r="E19" i="37"/>
  <c r="L37" i="37"/>
  <c r="O23" i="37"/>
  <c r="N23" i="37"/>
  <c r="O43" i="37"/>
  <c r="N32" i="37"/>
  <c r="O32" i="37"/>
  <c r="N31" i="37"/>
  <c r="O31" i="37"/>
  <c r="N30" i="37"/>
  <c r="O30" i="37"/>
  <c r="N38" i="37"/>
  <c r="N40" i="37"/>
  <c r="I33" i="1"/>
  <c r="I32" i="1"/>
  <c r="I34" i="1"/>
  <c r="I35" i="1"/>
  <c r="I36" i="1"/>
  <c r="I37" i="1"/>
  <c r="I38" i="1"/>
  <c r="I39" i="1"/>
  <c r="I40" i="1"/>
  <c r="D39" i="1"/>
  <c r="D40" i="1"/>
  <c r="D32" i="1"/>
  <c r="D33" i="1"/>
  <c r="D34" i="1"/>
  <c r="D35" i="1"/>
  <c r="D36" i="1"/>
  <c r="D37" i="1"/>
  <c r="D38" i="1"/>
  <c r="N35" i="37"/>
  <c r="O26" i="37"/>
  <c r="N25" i="37"/>
  <c r="N26" i="37"/>
  <c r="N27" i="37"/>
  <c r="O27" i="37"/>
  <c r="N28" i="37"/>
  <c r="N29" i="37"/>
  <c r="N33" i="37"/>
  <c r="O33" i="37"/>
  <c r="N34" i="37"/>
  <c r="O34" i="37"/>
  <c r="O35" i="37"/>
  <c r="N37" i="37"/>
  <c r="N39" i="37"/>
  <c r="N24" i="37"/>
  <c r="O25" i="37"/>
  <c r="N5" i="37"/>
  <c r="N6" i="37"/>
  <c r="N7" i="37"/>
  <c r="N8" i="37"/>
  <c r="N9" i="37"/>
  <c r="N10" i="37"/>
  <c r="N11" i="37"/>
  <c r="N12" i="37"/>
  <c r="N13" i="37"/>
  <c r="J33" i="1"/>
  <c r="O29" i="37"/>
  <c r="O28" i="37"/>
  <c r="O37" i="37"/>
  <c r="O40" i="37"/>
  <c r="H13" i="37"/>
  <c r="L40" i="1"/>
  <c r="O41" i="37"/>
  <c r="D27" i="15"/>
  <c r="G27" i="15"/>
  <c r="O24" i="37"/>
  <c r="O39" i="37"/>
  <c r="O38" i="37"/>
  <c r="H10" i="37"/>
  <c r="L37" i="1"/>
  <c r="J37" i="1"/>
  <c r="H12" i="37"/>
  <c r="L39" i="1"/>
  <c r="J39" i="1"/>
  <c r="O42" i="37"/>
  <c r="J12" i="37"/>
  <c r="I12" i="37"/>
  <c r="N39" i="1"/>
  <c r="J10" i="37"/>
  <c r="I10" i="37"/>
  <c r="N37" i="1"/>
  <c r="F5" i="49"/>
  <c r="L64" i="49"/>
  <c r="L63" i="49"/>
  <c r="L62" i="49"/>
  <c r="L61" i="49"/>
  <c r="L58" i="49"/>
  <c r="L54" i="49"/>
  <c r="L53" i="49"/>
  <c r="L49" i="49"/>
  <c r="L48" i="49"/>
  <c r="L47" i="49"/>
  <c r="L46" i="49"/>
  <c r="L45" i="49"/>
  <c r="L44" i="49"/>
  <c r="L43" i="49"/>
  <c r="L42" i="49"/>
  <c r="L38" i="49"/>
  <c r="L37" i="49"/>
  <c r="L36" i="49"/>
  <c r="L35" i="49"/>
  <c r="L34" i="49"/>
  <c r="L33" i="49"/>
  <c r="L32" i="49"/>
  <c r="L31" i="49"/>
  <c r="L30" i="49"/>
  <c r="L29" i="49"/>
  <c r="L28" i="49"/>
  <c r="L27" i="49"/>
  <c r="L26" i="49"/>
  <c r="L25" i="49"/>
  <c r="L24" i="49"/>
  <c r="L23" i="49"/>
  <c r="L22" i="49"/>
  <c r="L21" i="49"/>
  <c r="L20" i="49"/>
  <c r="L19" i="49"/>
  <c r="N12" i="49"/>
  <c r="L12" i="49"/>
  <c r="H12" i="49"/>
  <c r="G12" i="49"/>
  <c r="I12" i="49"/>
  <c r="F12" i="49"/>
  <c r="N11" i="49"/>
  <c r="L11" i="49"/>
  <c r="G11" i="49"/>
  <c r="H11" i="49"/>
  <c r="F11" i="49"/>
  <c r="N10" i="49"/>
  <c r="L10" i="49"/>
  <c r="J10" i="49"/>
  <c r="I10" i="49"/>
  <c r="H10" i="49"/>
  <c r="G10" i="49"/>
  <c r="F10" i="49"/>
  <c r="N9" i="49"/>
  <c r="L9" i="49"/>
  <c r="I9" i="49"/>
  <c r="G9" i="49"/>
  <c r="J9" i="49"/>
  <c r="F9" i="49"/>
  <c r="N8" i="49"/>
  <c r="L8" i="49"/>
  <c r="H8" i="49"/>
  <c r="G8" i="49"/>
  <c r="I8" i="49"/>
  <c r="F8" i="49"/>
  <c r="N7" i="49"/>
  <c r="L7" i="49"/>
  <c r="G7" i="49"/>
  <c r="H7" i="49"/>
  <c r="F7" i="49"/>
  <c r="N6" i="49"/>
  <c r="L6" i="49"/>
  <c r="J6" i="49"/>
  <c r="I6" i="49"/>
  <c r="H6" i="49"/>
  <c r="G6" i="49"/>
  <c r="F6" i="49"/>
  <c r="N5" i="49"/>
  <c r="L5" i="49"/>
  <c r="I5" i="49"/>
  <c r="G5" i="49"/>
  <c r="J5" i="49"/>
  <c r="N4" i="49"/>
  <c r="L4" i="49"/>
  <c r="L14" i="49"/>
  <c r="H4" i="49"/>
  <c r="G4" i="49"/>
  <c r="G14" i="49"/>
  <c r="G15" i="49"/>
  <c r="N12" i="2"/>
  <c r="N59" i="2"/>
  <c r="N52" i="2"/>
  <c r="N37" i="2"/>
  <c r="N20" i="2"/>
  <c r="M53" i="2"/>
  <c r="H53" i="2"/>
  <c r="M59" i="2"/>
  <c r="O59" i="2"/>
  <c r="Q59" i="2"/>
  <c r="L59" i="2"/>
  <c r="G57" i="2"/>
  <c r="M52" i="2"/>
  <c r="O52" i="2"/>
  <c r="P52" i="2"/>
  <c r="Q52" i="2"/>
  <c r="M37" i="2"/>
  <c r="M12" i="2"/>
  <c r="O37" i="2"/>
  <c r="P37" i="2"/>
  <c r="Q37" i="2"/>
  <c r="L37" i="2"/>
  <c r="M20" i="2"/>
  <c r="O20" i="2"/>
  <c r="O12" i="2"/>
  <c r="P20" i="2"/>
  <c r="Q20" i="2"/>
  <c r="Q12" i="2"/>
  <c r="L20" i="2"/>
  <c r="L12" i="2"/>
  <c r="G42" i="2"/>
  <c r="G43" i="2"/>
  <c r="G44" i="2"/>
  <c r="G47" i="2"/>
  <c r="G48" i="2"/>
  <c r="G41" i="2"/>
  <c r="G27" i="2"/>
  <c r="G31" i="2"/>
  <c r="F57" i="2"/>
  <c r="F56" i="2"/>
  <c r="G56" i="2"/>
  <c r="F46" i="2"/>
  <c r="G46" i="2"/>
  <c r="F47" i="2"/>
  <c r="F48" i="2"/>
  <c r="F49" i="2"/>
  <c r="G49" i="2"/>
  <c r="F50" i="2"/>
  <c r="F42" i="2"/>
  <c r="F43" i="2"/>
  <c r="F44" i="2"/>
  <c r="F45" i="2"/>
  <c r="G45" i="2"/>
  <c r="F33" i="2"/>
  <c r="G33" i="2"/>
  <c r="F34" i="2"/>
  <c r="F35" i="2"/>
  <c r="F31" i="2"/>
  <c r="F32" i="2"/>
  <c r="F29" i="2"/>
  <c r="F30" i="2"/>
  <c r="F27" i="2"/>
  <c r="F28" i="2"/>
  <c r="F25" i="2"/>
  <c r="F26" i="2"/>
  <c r="F24" i="2"/>
  <c r="F23" i="2"/>
  <c r="G23" i="2"/>
  <c r="F16" i="2"/>
  <c r="F17" i="2"/>
  <c r="F18" i="2"/>
  <c r="G18" i="2"/>
  <c r="F15" i="2"/>
  <c r="P39" i="1"/>
  <c r="F12" i="37"/>
  <c r="P37" i="1"/>
  <c r="F10" i="37"/>
  <c r="J36" i="1"/>
  <c r="H9" i="37"/>
  <c r="L36" i="1"/>
  <c r="I9" i="37"/>
  <c r="N36" i="1"/>
  <c r="H6" i="37"/>
  <c r="L33" i="1"/>
  <c r="I13" i="37"/>
  <c r="N40" i="1"/>
  <c r="J9" i="37"/>
  <c r="J40" i="1"/>
  <c r="J13" i="37"/>
  <c r="I6" i="37"/>
  <c r="N33" i="1"/>
  <c r="J6" i="37"/>
  <c r="H7" i="37"/>
  <c r="J34" i="1"/>
  <c r="H8" i="37"/>
  <c r="J35" i="1"/>
  <c r="I11" i="37"/>
  <c r="N38" i="1"/>
  <c r="J38" i="1"/>
  <c r="I7" i="37"/>
  <c r="J8" i="37"/>
  <c r="I8" i="37"/>
  <c r="J7" i="37"/>
  <c r="H11" i="37"/>
  <c r="L38" i="1"/>
  <c r="J11" i="37"/>
  <c r="F15" i="49"/>
  <c r="J4" i="49"/>
  <c r="I7" i="49"/>
  <c r="J8" i="49"/>
  <c r="I11" i="49"/>
  <c r="J12" i="49"/>
  <c r="H5" i="49"/>
  <c r="H14" i="49"/>
  <c r="H15" i="49"/>
  <c r="J7" i="49"/>
  <c r="H9" i="49"/>
  <c r="J11" i="49"/>
  <c r="I4" i="49"/>
  <c r="I14" i="49"/>
  <c r="I15" i="49"/>
  <c r="G17" i="2"/>
  <c r="G35" i="2"/>
  <c r="G16" i="2"/>
  <c r="G34" i="2"/>
  <c r="G30" i="2"/>
  <c r="G26" i="2"/>
  <c r="G15" i="2"/>
  <c r="G29" i="2"/>
  <c r="G25" i="2"/>
  <c r="G50" i="2"/>
  <c r="G32" i="2"/>
  <c r="G28" i="2"/>
  <c r="G24" i="2"/>
  <c r="G53" i="2"/>
  <c r="F37" i="2"/>
  <c r="P38" i="1"/>
  <c r="F11" i="37"/>
  <c r="P36" i="1"/>
  <c r="F9" i="37"/>
  <c r="N34" i="1"/>
  <c r="D91" i="15"/>
  <c r="G91" i="15"/>
  <c r="L35" i="1"/>
  <c r="D59" i="15"/>
  <c r="G59" i="15"/>
  <c r="P34" i="1"/>
  <c r="D124" i="15"/>
  <c r="G124" i="15"/>
  <c r="F7" i="37"/>
  <c r="P40" i="1"/>
  <c r="F13" i="37"/>
  <c r="N35" i="1"/>
  <c r="D92" i="15"/>
  <c r="G92" i="15"/>
  <c r="L34" i="1"/>
  <c r="D58" i="15"/>
  <c r="G58" i="15"/>
  <c r="P35" i="1"/>
  <c r="D125" i="15"/>
  <c r="G125" i="15"/>
  <c r="F8" i="37"/>
  <c r="P33" i="1"/>
  <c r="F6" i="37"/>
  <c r="J14" i="49"/>
  <c r="J15" i="49"/>
  <c r="G37" i="2"/>
  <c r="H37" i="2"/>
  <c r="I65" i="47"/>
  <c r="H65" i="47"/>
  <c r="G65" i="47"/>
  <c r="F65" i="47"/>
  <c r="G58" i="47"/>
  <c r="F8" i="47"/>
  <c r="F58" i="47"/>
  <c r="H56" i="47"/>
  <c r="G56" i="47"/>
  <c r="H55" i="47"/>
  <c r="H58" i="47"/>
  <c r="G55" i="47"/>
  <c r="H52" i="47"/>
  <c r="G52" i="47"/>
  <c r="F7" i="47"/>
  <c r="H51" i="47"/>
  <c r="F51" i="47"/>
  <c r="H44" i="47"/>
  <c r="G44" i="47"/>
  <c r="H43" i="47"/>
  <c r="G43" i="47"/>
  <c r="H42" i="47"/>
  <c r="G42" i="47"/>
  <c r="H41" i="47"/>
  <c r="G41" i="47"/>
  <c r="H40" i="47"/>
  <c r="G40" i="47"/>
  <c r="G51" i="47"/>
  <c r="F36" i="47"/>
  <c r="E6" i="47"/>
  <c r="H34" i="47"/>
  <c r="G34" i="47"/>
  <c r="H33" i="47"/>
  <c r="G33" i="47"/>
  <c r="H32" i="47"/>
  <c r="G32" i="47"/>
  <c r="H31" i="47"/>
  <c r="G31" i="47"/>
  <c r="H30" i="47"/>
  <c r="G30" i="47"/>
  <c r="H29" i="47"/>
  <c r="G29" i="47"/>
  <c r="H28" i="47"/>
  <c r="G28" i="47"/>
  <c r="H27" i="47"/>
  <c r="G27" i="47"/>
  <c r="H26" i="47"/>
  <c r="G26" i="47"/>
  <c r="H25" i="47"/>
  <c r="G25" i="47"/>
  <c r="G36" i="47"/>
  <c r="F6" i="47"/>
  <c r="H24" i="47"/>
  <c r="H36" i="47"/>
  <c r="G24" i="47"/>
  <c r="F20" i="47"/>
  <c r="E5" i="47"/>
  <c r="J19" i="47"/>
  <c r="H18" i="47"/>
  <c r="G18" i="47"/>
  <c r="H17" i="47"/>
  <c r="G17" i="47"/>
  <c r="H16" i="47"/>
  <c r="G16" i="47"/>
  <c r="G20" i="47"/>
  <c r="F5" i="47"/>
  <c r="H15" i="47"/>
  <c r="H20" i="47"/>
  <c r="G15" i="47"/>
  <c r="J14" i="47"/>
  <c r="H9" i="47"/>
  <c r="G9" i="47"/>
  <c r="F9" i="47"/>
  <c r="E9" i="47"/>
  <c r="E8" i="47"/>
  <c r="H7" i="47"/>
  <c r="G7" i="47"/>
  <c r="E7" i="47"/>
  <c r="H5" i="47"/>
  <c r="G5" i="47"/>
  <c r="H6" i="47"/>
  <c r="G6" i="47"/>
  <c r="H8" i="47"/>
  <c r="G8" i="47"/>
  <c r="D15" i="13"/>
  <c r="D11" i="13"/>
  <c r="L284" i="45"/>
  <c r="L244" i="45"/>
  <c r="L211" i="45"/>
  <c r="L210" i="45"/>
  <c r="L209" i="45"/>
  <c r="L208" i="45"/>
  <c r="L207" i="45"/>
  <c r="C140" i="45"/>
  <c r="D140" i="45"/>
  <c r="C141" i="45"/>
  <c r="E139" i="45"/>
  <c r="C135" i="45"/>
  <c r="D135" i="45"/>
  <c r="E135" i="45"/>
  <c r="E77" i="8"/>
  <c r="G71" i="36"/>
  <c r="D130" i="45"/>
  <c r="E130" i="45"/>
  <c r="D131" i="45"/>
  <c r="E131" i="45"/>
  <c r="D132" i="45"/>
  <c r="E132" i="45"/>
  <c r="D133" i="45"/>
  <c r="E133" i="45"/>
  <c r="D134" i="45"/>
  <c r="E134" i="45"/>
  <c r="C131" i="45"/>
  <c r="C132" i="45"/>
  <c r="C133" i="45"/>
  <c r="C134" i="45"/>
  <c r="C130" i="45"/>
  <c r="E127" i="45"/>
  <c r="D121" i="45"/>
  <c r="D122" i="45"/>
  <c r="D123" i="45"/>
  <c r="H119" i="45"/>
  <c r="H120" i="45"/>
  <c r="D118" i="45"/>
  <c r="E118" i="45"/>
  <c r="E119" i="45"/>
  <c r="E120" i="45"/>
  <c r="E121" i="45"/>
  <c r="E122" i="45"/>
  <c r="E123" i="45"/>
  <c r="C119" i="45"/>
  <c r="C121" i="45"/>
  <c r="C122" i="45"/>
  <c r="C123" i="45"/>
  <c r="C118" i="45"/>
  <c r="G50" i="36"/>
  <c r="K49" i="36"/>
  <c r="H49" i="36"/>
  <c r="E49" i="36"/>
  <c r="G49" i="36"/>
  <c r="G52" i="36"/>
  <c r="P45" i="36"/>
  <c r="M45" i="36"/>
  <c r="J45" i="36"/>
  <c r="G45" i="36"/>
  <c r="N45" i="36"/>
  <c r="K45" i="36"/>
  <c r="H45" i="36"/>
  <c r="E45" i="36"/>
  <c r="O45" i="36"/>
  <c r="H17" i="35"/>
  <c r="I17" i="35"/>
  <c r="F16" i="5"/>
  <c r="C142" i="45"/>
  <c r="G124" i="45"/>
  <c r="D136" i="45"/>
  <c r="E124" i="45"/>
  <c r="F136" i="45"/>
  <c r="H136" i="45"/>
  <c r="C124" i="45"/>
  <c r="F124" i="45"/>
  <c r="H124" i="45"/>
  <c r="E136" i="45"/>
  <c r="F142" i="45"/>
  <c r="C136" i="45"/>
  <c r="D124" i="45"/>
  <c r="F67" i="34"/>
  <c r="F45" i="34"/>
  <c r="G67" i="34"/>
  <c r="G45" i="34"/>
  <c r="H67" i="34"/>
  <c r="H45" i="34"/>
  <c r="F68" i="34"/>
  <c r="F46" i="34"/>
  <c r="G68" i="34"/>
  <c r="G46" i="34"/>
  <c r="H68" i="34"/>
  <c r="H46" i="34"/>
  <c r="H66" i="34"/>
  <c r="H44" i="34"/>
  <c r="G66" i="34"/>
  <c r="G44" i="34"/>
  <c r="F66" i="34"/>
  <c r="F44" i="34"/>
  <c r="E67" i="34"/>
  <c r="E45" i="34"/>
  <c r="E68" i="34"/>
  <c r="E46" i="34"/>
  <c r="H34" i="34"/>
  <c r="H35" i="34"/>
  <c r="H33" i="34"/>
  <c r="G34" i="34"/>
  <c r="G35" i="34"/>
  <c r="G33" i="34"/>
  <c r="F34" i="34"/>
  <c r="F35" i="34"/>
  <c r="F33" i="34"/>
  <c r="E34" i="34"/>
  <c r="E35" i="34"/>
  <c r="E33" i="34"/>
  <c r="E36" i="34"/>
  <c r="P10" i="1"/>
  <c r="P15" i="1"/>
  <c r="P16" i="1"/>
  <c r="P17" i="1"/>
  <c r="P22" i="1"/>
  <c r="B282" i="45"/>
  <c r="L282" i="45"/>
  <c r="B283" i="45"/>
  <c r="L281" i="45"/>
  <c r="B284" i="45"/>
  <c r="L280" i="45"/>
  <c r="B285" i="45"/>
  <c r="L279" i="45"/>
  <c r="C57" i="23"/>
  <c r="B281" i="45"/>
  <c r="L283" i="45"/>
  <c r="B56" i="23"/>
  <c r="B318" i="45"/>
  <c r="B248" i="45"/>
  <c r="B247" i="45"/>
  <c r="L239" i="45"/>
  <c r="D7" i="23"/>
  <c r="B246" i="45"/>
  <c r="L240" i="45"/>
  <c r="C6" i="23"/>
  <c r="B310" i="45"/>
  <c r="B5" i="23"/>
  <c r="D6" i="22"/>
  <c r="E7" i="22"/>
  <c r="C61" i="22"/>
  <c r="B183" i="45"/>
  <c r="C57" i="22"/>
  <c r="C58" i="22"/>
  <c r="B180" i="45"/>
  <c r="C59" i="22"/>
  <c r="B181" i="45"/>
  <c r="C60" i="22"/>
  <c r="B182" i="45"/>
  <c r="C56" i="22"/>
  <c r="B179" i="45"/>
  <c r="D12" i="22"/>
  <c r="D11" i="22"/>
  <c r="E10" i="22"/>
  <c r="E9" i="22"/>
  <c r="E8" i="22"/>
  <c r="B55" i="22"/>
  <c r="C51" i="22"/>
  <c r="C50" i="22"/>
  <c r="C43" i="22"/>
  <c r="C42" i="22"/>
  <c r="C31" i="22"/>
  <c r="C24" i="22"/>
  <c r="C19" i="22"/>
  <c r="C13" i="22"/>
  <c r="C5" i="22"/>
  <c r="B4" i="22"/>
  <c r="E113" i="34"/>
  <c r="E114" i="34"/>
  <c r="E115" i="34"/>
  <c r="E116" i="34"/>
  <c r="F118" i="34"/>
  <c r="G118" i="34"/>
  <c r="H118" i="34"/>
  <c r="H119" i="34"/>
  <c r="I118" i="34"/>
  <c r="I119" i="34"/>
  <c r="F119" i="34"/>
  <c r="F121" i="34"/>
  <c r="G121" i="34"/>
  <c r="H121" i="34"/>
  <c r="I121" i="34"/>
  <c r="E126" i="34"/>
  <c r="E127" i="34"/>
  <c r="E128" i="34"/>
  <c r="E129" i="34"/>
  <c r="F131" i="34"/>
  <c r="F132" i="34"/>
  <c r="G131" i="34"/>
  <c r="H131" i="34"/>
  <c r="I131" i="34"/>
  <c r="G132" i="34"/>
  <c r="H132" i="34"/>
  <c r="I132" i="34"/>
  <c r="E138" i="34"/>
  <c r="E139" i="34"/>
  <c r="E140" i="34"/>
  <c r="E141" i="34"/>
  <c r="F143" i="34"/>
  <c r="F144" i="34"/>
  <c r="G143" i="34"/>
  <c r="H143" i="34"/>
  <c r="I143" i="34"/>
  <c r="G144" i="34"/>
  <c r="H144" i="34"/>
  <c r="I144" i="34"/>
  <c r="E155" i="34"/>
  <c r="M18" i="35"/>
  <c r="M21" i="35"/>
  <c r="M19" i="35"/>
  <c r="M22" i="35"/>
  <c r="G150" i="34"/>
  <c r="G153" i="34"/>
  <c r="F150" i="34"/>
  <c r="F153" i="34"/>
  <c r="G119" i="34"/>
  <c r="F154" i="34"/>
  <c r="L247" i="45"/>
  <c r="B245" i="45"/>
  <c r="L241" i="45"/>
  <c r="L246" i="45"/>
  <c r="B244" i="45"/>
  <c r="L242" i="45"/>
  <c r="L245" i="45"/>
  <c r="L243" i="45"/>
  <c r="I150" i="34"/>
  <c r="I153" i="34"/>
  <c r="I154" i="34"/>
  <c r="H150" i="34"/>
  <c r="H153" i="34"/>
  <c r="H154" i="34"/>
  <c r="G154" i="34"/>
  <c r="D40" i="13"/>
  <c r="G13" i="15"/>
  <c r="E64" i="3"/>
  <c r="O94" i="36"/>
  <c r="G142" i="45"/>
  <c r="L94" i="36"/>
  <c r="I94" i="36"/>
  <c r="D78" i="41"/>
  <c r="H76" i="41"/>
  <c r="G76" i="41"/>
  <c r="H75" i="41"/>
  <c r="I75" i="41"/>
  <c r="G75" i="41"/>
  <c r="H74" i="41"/>
  <c r="G74" i="41"/>
  <c r="H72" i="41"/>
  <c r="G72" i="41"/>
  <c r="H71" i="41"/>
  <c r="I71" i="41"/>
  <c r="G71" i="41"/>
  <c r="H70" i="41"/>
  <c r="I70" i="41"/>
  <c r="G70" i="41"/>
  <c r="I67" i="41"/>
  <c r="H67" i="41"/>
  <c r="G67" i="41"/>
  <c r="H62" i="41"/>
  <c r="G62" i="41"/>
  <c r="H61" i="41"/>
  <c r="G61" i="41"/>
  <c r="H60" i="41"/>
  <c r="G60" i="41"/>
  <c r="H59" i="41"/>
  <c r="H78" i="41"/>
  <c r="G59" i="41"/>
  <c r="G78" i="41"/>
  <c r="H52" i="41"/>
  <c r="H51" i="41"/>
  <c r="I51" i="41"/>
  <c r="H50" i="41"/>
  <c r="D50" i="41"/>
  <c r="G50" i="41"/>
  <c r="H48" i="41"/>
  <c r="I48" i="41"/>
  <c r="H47" i="41"/>
  <c r="I47" i="41"/>
  <c r="H46" i="41"/>
  <c r="I46" i="41"/>
  <c r="H43" i="41"/>
  <c r="I43" i="41"/>
  <c r="H38" i="41"/>
  <c r="H37" i="41"/>
  <c r="H36" i="41"/>
  <c r="I35" i="41"/>
  <c r="I54" i="41"/>
  <c r="H35" i="41"/>
  <c r="H54" i="41"/>
  <c r="E32" i="41"/>
  <c r="D47" i="41" s="1"/>
  <c r="G47" i="41" s="1"/>
  <c r="D52" i="41"/>
  <c r="G52" i="41" s="1"/>
  <c r="H28" i="41"/>
  <c r="G28" i="41"/>
  <c r="H27" i="41"/>
  <c r="I27" i="41"/>
  <c r="G27" i="41"/>
  <c r="D27" i="41"/>
  <c r="D51" i="41"/>
  <c r="G51" i="41"/>
  <c r="H26" i="41"/>
  <c r="G26" i="41"/>
  <c r="I24" i="41"/>
  <c r="H24" i="41"/>
  <c r="G24" i="41"/>
  <c r="H23" i="41"/>
  <c r="G23" i="41"/>
  <c r="H22" i="41"/>
  <c r="I22" i="41"/>
  <c r="G22" i="41"/>
  <c r="H19" i="41"/>
  <c r="I19" i="41"/>
  <c r="G19" i="41"/>
  <c r="H14" i="41"/>
  <c r="G14" i="41"/>
  <c r="H13" i="41"/>
  <c r="G13" i="41"/>
  <c r="H12" i="41"/>
  <c r="G12" i="41"/>
  <c r="H11" i="41"/>
  <c r="H30" i="41"/>
  <c r="G11" i="41"/>
  <c r="G30" i="41"/>
  <c r="G86" i="41"/>
  <c r="H5" i="41"/>
  <c r="D80" i="41"/>
  <c r="D37" i="41"/>
  <c r="G37" i="41" s="1"/>
  <c r="D41" i="41"/>
  <c r="D46" i="41"/>
  <c r="G46" i="41"/>
  <c r="D48" i="41"/>
  <c r="G48" i="41"/>
  <c r="I23" i="41"/>
  <c r="D35" i="41"/>
  <c r="G35" i="41" s="1"/>
  <c r="D36" i="41"/>
  <c r="G36" i="41" s="1"/>
  <c r="D42" i="41"/>
  <c r="I72" i="41"/>
  <c r="I11" i="41"/>
  <c r="I30" i="41"/>
  <c r="D39" i="41"/>
  <c r="D43" i="41"/>
  <c r="G43" i="41"/>
  <c r="D44" i="41"/>
  <c r="D38" i="41"/>
  <c r="G38" i="41" s="1"/>
  <c r="D40" i="41"/>
  <c r="D45" i="41"/>
  <c r="I59" i="41"/>
  <c r="I78" i="41"/>
  <c r="D37" i="3"/>
  <c r="D30" i="3"/>
  <c r="D38" i="3"/>
  <c r="D65" i="40"/>
  <c r="E7" i="40"/>
  <c r="E63" i="40"/>
  <c r="F63" i="40"/>
  <c r="G28" i="40"/>
  <c r="G29" i="40"/>
  <c r="G37" i="40"/>
  <c r="F28" i="40"/>
  <c r="F29" i="40"/>
  <c r="F37" i="40"/>
  <c r="E28" i="40"/>
  <c r="E29" i="40"/>
  <c r="E37" i="40"/>
  <c r="E39" i="40"/>
  <c r="D28" i="40"/>
  <c r="D29" i="40"/>
  <c r="D37" i="40"/>
  <c r="D39" i="40"/>
  <c r="E25" i="40"/>
  <c r="E36" i="40"/>
  <c r="D25" i="40"/>
  <c r="D36" i="40"/>
  <c r="G24" i="40"/>
  <c r="G25" i="40"/>
  <c r="G36" i="40"/>
  <c r="F24" i="40"/>
  <c r="F25" i="40"/>
  <c r="F36" i="40"/>
  <c r="G19" i="40"/>
  <c r="G20" i="40"/>
  <c r="F19" i="40"/>
  <c r="F20" i="40"/>
  <c r="E19" i="40"/>
  <c r="E20" i="40"/>
  <c r="D19" i="40"/>
  <c r="D20" i="40"/>
  <c r="H6" i="40"/>
  <c r="G6" i="40"/>
  <c r="F6" i="40"/>
  <c r="E6" i="40"/>
  <c r="E4" i="40"/>
  <c r="D45" i="40"/>
  <c r="D47" i="40"/>
  <c r="E5" i="40"/>
  <c r="G63" i="40"/>
  <c r="G65" i="40"/>
  <c r="H7" i="40"/>
  <c r="F65" i="40"/>
  <c r="G7" i="40"/>
  <c r="E45" i="40"/>
  <c r="E47" i="40"/>
  <c r="F5" i="40"/>
  <c r="F4" i="40"/>
  <c r="F10" i="40"/>
  <c r="F39" i="40"/>
  <c r="G39" i="40"/>
  <c r="E65" i="40"/>
  <c r="F7" i="40"/>
  <c r="D31" i="1"/>
  <c r="F70" i="39"/>
  <c r="D70" i="39"/>
  <c r="G70" i="39"/>
  <c r="C70" i="39"/>
  <c r="F66" i="39"/>
  <c r="D66" i="39"/>
  <c r="G66" i="39"/>
  <c r="C66" i="39"/>
  <c r="E66" i="39"/>
  <c r="F62" i="39"/>
  <c r="D62" i="39"/>
  <c r="C62" i="39"/>
  <c r="E62" i="39"/>
  <c r="G62" i="39"/>
  <c r="F58" i="39"/>
  <c r="D58" i="39"/>
  <c r="C58" i="39"/>
  <c r="E58" i="39"/>
  <c r="F54" i="39"/>
  <c r="D54" i="39"/>
  <c r="C54" i="39"/>
  <c r="F50" i="39"/>
  <c r="F49" i="39"/>
  <c r="F46" i="39"/>
  <c r="C50" i="39"/>
  <c r="D50" i="39"/>
  <c r="G50" i="39"/>
  <c r="D49" i="39"/>
  <c r="C49" i="39"/>
  <c r="D46" i="39"/>
  <c r="C46" i="39"/>
  <c r="C33" i="39"/>
  <c r="D33" i="39"/>
  <c r="F33" i="39"/>
  <c r="C34" i="39"/>
  <c r="D34" i="39"/>
  <c r="F34" i="39"/>
  <c r="C35" i="39"/>
  <c r="D35" i="39"/>
  <c r="F35" i="39"/>
  <c r="C36" i="39"/>
  <c r="D36" i="39"/>
  <c r="F36" i="39"/>
  <c r="C37" i="39"/>
  <c r="D37" i="39"/>
  <c r="F37" i="39"/>
  <c r="C38" i="39"/>
  <c r="D38" i="39"/>
  <c r="F38" i="39"/>
  <c r="C39" i="39"/>
  <c r="D39" i="39"/>
  <c r="F39" i="39"/>
  <c r="F32" i="39"/>
  <c r="D32" i="39"/>
  <c r="C32" i="39"/>
  <c r="F7" i="39"/>
  <c r="F8" i="39"/>
  <c r="F9" i="39"/>
  <c r="F10" i="39"/>
  <c r="F11" i="39"/>
  <c r="F12" i="39"/>
  <c r="F13" i="39"/>
  <c r="F14" i="39"/>
  <c r="F15" i="39"/>
  <c r="F16" i="39"/>
  <c r="F17" i="39"/>
  <c r="F18" i="39"/>
  <c r="F19" i="39"/>
  <c r="F20" i="39"/>
  <c r="F21" i="39"/>
  <c r="F22" i="39"/>
  <c r="F23" i="39"/>
  <c r="F24" i="39"/>
  <c r="F25" i="39"/>
  <c r="F6" i="39"/>
  <c r="C7" i="39"/>
  <c r="C8" i="39"/>
  <c r="C9" i="39"/>
  <c r="C10" i="39"/>
  <c r="C11" i="39"/>
  <c r="C12" i="39"/>
  <c r="C13" i="39"/>
  <c r="C14" i="39"/>
  <c r="C15" i="39"/>
  <c r="C16" i="39"/>
  <c r="C17" i="39"/>
  <c r="C18" i="39"/>
  <c r="C19" i="39"/>
  <c r="C20" i="39"/>
  <c r="C21" i="39"/>
  <c r="C22" i="39"/>
  <c r="C23" i="39"/>
  <c r="C24" i="39"/>
  <c r="C25" i="39"/>
  <c r="C6" i="39"/>
  <c r="D6" i="39"/>
  <c r="D7" i="39"/>
  <c r="D8" i="39"/>
  <c r="D9" i="39"/>
  <c r="D10" i="39"/>
  <c r="D11" i="39"/>
  <c r="D12" i="39"/>
  <c r="D13" i="39"/>
  <c r="D14" i="39"/>
  <c r="D15" i="39"/>
  <c r="D16" i="39"/>
  <c r="D17" i="39"/>
  <c r="D18" i="39"/>
  <c r="D19" i="39"/>
  <c r="D20" i="39"/>
  <c r="D21" i="39"/>
  <c r="D22" i="39"/>
  <c r="D23" i="39"/>
  <c r="D24" i="39"/>
  <c r="D25" i="39"/>
  <c r="J31" i="1"/>
  <c r="B31" i="45"/>
  <c r="B34" i="45"/>
  <c r="B30" i="45"/>
  <c r="B32" i="45"/>
  <c r="B35" i="45"/>
  <c r="D32" i="22"/>
  <c r="B28" i="45"/>
  <c r="B33" i="45"/>
  <c r="B29" i="45"/>
  <c r="H4" i="40"/>
  <c r="G45" i="40"/>
  <c r="G47" i="40"/>
  <c r="H5" i="40"/>
  <c r="F45" i="40"/>
  <c r="F47" i="40"/>
  <c r="G5" i="40"/>
  <c r="G4" i="40"/>
  <c r="E10" i="40"/>
  <c r="E70" i="39"/>
  <c r="E50" i="39"/>
  <c r="G58" i="39"/>
  <c r="G54" i="39"/>
  <c r="E54" i="39"/>
  <c r="E36" i="39"/>
  <c r="G36" i="39"/>
  <c r="E33" i="39"/>
  <c r="G33" i="39"/>
  <c r="E46" i="39"/>
  <c r="G46" i="39"/>
  <c r="G49" i="39"/>
  <c r="E34" i="39"/>
  <c r="G34" i="39"/>
  <c r="E49" i="39"/>
  <c r="E37" i="39"/>
  <c r="G37" i="39"/>
  <c r="F41" i="39"/>
  <c r="D41" i="39"/>
  <c r="E38" i="39"/>
  <c r="G38" i="39"/>
  <c r="E35" i="39"/>
  <c r="G35" i="39"/>
  <c r="E39" i="39"/>
  <c r="G39" i="39"/>
  <c r="E32" i="39"/>
  <c r="E17" i="39"/>
  <c r="G17" i="39"/>
  <c r="E10" i="39"/>
  <c r="G10" i="39"/>
  <c r="E6" i="39"/>
  <c r="G6" i="39"/>
  <c r="D27" i="39"/>
  <c r="E11" i="39"/>
  <c r="G11" i="39"/>
  <c r="E18" i="39"/>
  <c r="G18" i="39"/>
  <c r="E14" i="39"/>
  <c r="G14" i="39"/>
  <c r="C27" i="39"/>
  <c r="E25" i="39"/>
  <c r="G25" i="39"/>
  <c r="E23" i="39"/>
  <c r="G23" i="39"/>
  <c r="E13" i="39"/>
  <c r="G13" i="39"/>
  <c r="E24" i="39"/>
  <c r="G24" i="39"/>
  <c r="E8" i="39"/>
  <c r="G8" i="39"/>
  <c r="E19" i="39"/>
  <c r="G19" i="39"/>
  <c r="E12" i="39"/>
  <c r="G12" i="39"/>
  <c r="E15" i="39"/>
  <c r="G15" i="39"/>
  <c r="E7" i="39"/>
  <c r="E9" i="39"/>
  <c r="G9" i="39"/>
  <c r="E22" i="39"/>
  <c r="G22" i="39"/>
  <c r="E20" i="39"/>
  <c r="G20" i="39"/>
  <c r="E16" i="39"/>
  <c r="G16" i="39"/>
  <c r="E21" i="39"/>
  <c r="G21" i="39"/>
  <c r="P8" i="1"/>
  <c r="N96" i="36"/>
  <c r="K96" i="36"/>
  <c r="H96" i="36"/>
  <c r="P94" i="36"/>
  <c r="M94" i="36"/>
  <c r="J94" i="36"/>
  <c r="F94" i="36"/>
  <c r="D141" i="45"/>
  <c r="D142" i="45"/>
  <c r="E94" i="36"/>
  <c r="E96" i="36"/>
  <c r="P93" i="36"/>
  <c r="M93" i="36"/>
  <c r="J93" i="36"/>
  <c r="G93" i="36"/>
  <c r="E140" i="45"/>
  <c r="J92" i="36"/>
  <c r="H79" i="36"/>
  <c r="P77" i="36"/>
  <c r="M77" i="36"/>
  <c r="I77" i="36"/>
  <c r="J77" i="36"/>
  <c r="E77" i="36"/>
  <c r="G77" i="36"/>
  <c r="P75" i="36"/>
  <c r="N75" i="36"/>
  <c r="M75" i="36"/>
  <c r="I75" i="36"/>
  <c r="J75" i="36"/>
  <c r="G75" i="36"/>
  <c r="K74" i="36"/>
  <c r="K79" i="36"/>
  <c r="I74" i="36"/>
  <c r="J74" i="36"/>
  <c r="G74" i="36"/>
  <c r="P73" i="36"/>
  <c r="M73" i="36"/>
  <c r="I73" i="36"/>
  <c r="J73" i="36"/>
  <c r="G73" i="36"/>
  <c r="P72" i="36"/>
  <c r="M72" i="36"/>
  <c r="I72" i="36"/>
  <c r="J72" i="36"/>
  <c r="G72" i="36"/>
  <c r="P71" i="36"/>
  <c r="M71" i="36"/>
  <c r="J71" i="36"/>
  <c r="I71" i="36"/>
  <c r="H52" i="36"/>
  <c r="E52" i="36"/>
  <c r="K50" i="36"/>
  <c r="M50" i="36"/>
  <c r="J50" i="36"/>
  <c r="N49" i="36"/>
  <c r="P49" i="36"/>
  <c r="J49" i="36"/>
  <c r="K48" i="36"/>
  <c r="M48" i="36"/>
  <c r="J48" i="36"/>
  <c r="G48" i="36"/>
  <c r="M47" i="36"/>
  <c r="L45" i="36"/>
  <c r="I45" i="36"/>
  <c r="H34" i="36"/>
  <c r="H6" i="36"/>
  <c r="F20" i="36"/>
  <c r="F5" i="36"/>
  <c r="I17" i="36"/>
  <c r="I20" i="36"/>
  <c r="I5" i="36"/>
  <c r="H17" i="36"/>
  <c r="H20" i="36"/>
  <c r="H5" i="36"/>
  <c r="G17" i="36"/>
  <c r="G20" i="36"/>
  <c r="G5" i="36"/>
  <c r="I6" i="36"/>
  <c r="G6" i="36"/>
  <c r="F6" i="36"/>
  <c r="I6" i="34"/>
  <c r="I5" i="34"/>
  <c r="I4" i="34"/>
  <c r="K28" i="34"/>
  <c r="L28" i="34"/>
  <c r="M28" i="34"/>
  <c r="N28" i="34"/>
  <c r="K29" i="34"/>
  <c r="L29" i="34"/>
  <c r="M29" i="34"/>
  <c r="N29" i="34"/>
  <c r="K30" i="34"/>
  <c r="L30" i="34"/>
  <c r="M30" i="34"/>
  <c r="N30" i="34"/>
  <c r="L27" i="34"/>
  <c r="M27" i="34"/>
  <c r="N27" i="34"/>
  <c r="K27" i="34"/>
  <c r="K23" i="34"/>
  <c r="L23" i="34"/>
  <c r="M23" i="34"/>
  <c r="N23" i="34"/>
  <c r="K24" i="34"/>
  <c r="L24" i="34"/>
  <c r="M24" i="34"/>
  <c r="N24" i="34"/>
  <c r="K25" i="34"/>
  <c r="L25" i="34"/>
  <c r="M25" i="34"/>
  <c r="N25" i="34"/>
  <c r="L22" i="34"/>
  <c r="M22" i="34"/>
  <c r="N22" i="34"/>
  <c r="K22" i="34"/>
  <c r="K18" i="34"/>
  <c r="L18" i="34"/>
  <c r="M18" i="34"/>
  <c r="N18" i="34"/>
  <c r="K19" i="34"/>
  <c r="L19" i="34"/>
  <c r="M19" i="34"/>
  <c r="N19" i="34"/>
  <c r="K20" i="34"/>
  <c r="L20" i="34"/>
  <c r="M20" i="34"/>
  <c r="N20" i="34"/>
  <c r="L17" i="34"/>
  <c r="M17" i="34"/>
  <c r="N17" i="34"/>
  <c r="K17" i="34"/>
  <c r="P96" i="36"/>
  <c r="H142" i="45"/>
  <c r="J96" i="36"/>
  <c r="G9" i="36"/>
  <c r="I24" i="1"/>
  <c r="I25" i="22"/>
  <c r="I26" i="1"/>
  <c r="I27" i="22"/>
  <c r="I25" i="1"/>
  <c r="I26" i="22"/>
  <c r="I11" i="34"/>
  <c r="D25" i="22"/>
  <c r="B4" i="45"/>
  <c r="E60" i="34"/>
  <c r="E6" i="34"/>
  <c r="J26" i="1"/>
  <c r="M96" i="36"/>
  <c r="G10" i="40"/>
  <c r="H10" i="40"/>
  <c r="G32" i="39"/>
  <c r="G41" i="39"/>
  <c r="E41" i="39"/>
  <c r="G7" i="39"/>
  <c r="G27" i="39"/>
  <c r="E27" i="39"/>
  <c r="N50" i="36"/>
  <c r="P50" i="36"/>
  <c r="G94" i="36"/>
  <c r="N48" i="36"/>
  <c r="G60" i="34"/>
  <c r="G6" i="34"/>
  <c r="N26" i="1"/>
  <c r="M49" i="36"/>
  <c r="M52" i="36"/>
  <c r="H7" i="36"/>
  <c r="E79" i="36"/>
  <c r="F60" i="34"/>
  <c r="F6" i="34"/>
  <c r="L26" i="1"/>
  <c r="J52" i="36"/>
  <c r="G7" i="36"/>
  <c r="M74" i="36"/>
  <c r="M79" i="36"/>
  <c r="H8" i="36"/>
  <c r="I9" i="36"/>
  <c r="I104" i="36"/>
  <c r="I10" i="36"/>
  <c r="H9" i="36"/>
  <c r="H104" i="36"/>
  <c r="H10" i="36"/>
  <c r="J79" i="36"/>
  <c r="G8" i="36"/>
  <c r="G79" i="36"/>
  <c r="F8" i="36"/>
  <c r="K52" i="36"/>
  <c r="N74" i="36"/>
  <c r="P47" i="36"/>
  <c r="H36" i="34"/>
  <c r="H38" i="34"/>
  <c r="H4" i="34"/>
  <c r="H60" i="34"/>
  <c r="H6" i="34"/>
  <c r="P26" i="1"/>
  <c r="F36" i="34"/>
  <c r="F38" i="34"/>
  <c r="F4" i="34"/>
  <c r="G36" i="34"/>
  <c r="G38" i="34"/>
  <c r="G4" i="34"/>
  <c r="E38" i="34"/>
  <c r="E4" i="34"/>
  <c r="M16" i="35"/>
  <c r="F16" i="35"/>
  <c r="F21" i="35"/>
  <c r="P20" i="1"/>
  <c r="N20" i="1"/>
  <c r="L20" i="1"/>
  <c r="J20" i="1"/>
  <c r="N18" i="35"/>
  <c r="G42" i="35"/>
  <c r="G43" i="35"/>
  <c r="H43" i="35"/>
  <c r="I43" i="35"/>
  <c r="G44" i="35"/>
  <c r="H44" i="35"/>
  <c r="I44" i="35"/>
  <c r="G45" i="35"/>
  <c r="H45" i="35"/>
  <c r="I45" i="35"/>
  <c r="F47" i="35"/>
  <c r="F7" i="35"/>
  <c r="G35" i="35"/>
  <c r="F37" i="35"/>
  <c r="F6" i="35"/>
  <c r="J21" i="1"/>
  <c r="J22" i="1"/>
  <c r="J17" i="1"/>
  <c r="K53" i="4"/>
  <c r="L53" i="4"/>
  <c r="K43" i="4"/>
  <c r="L43" i="4"/>
  <c r="K42" i="4"/>
  <c r="L42" i="4"/>
  <c r="K41" i="4"/>
  <c r="L41" i="4"/>
  <c r="K40" i="4"/>
  <c r="L40" i="4"/>
  <c r="K31" i="4"/>
  <c r="L31" i="4"/>
  <c r="K30" i="4"/>
  <c r="L30" i="4"/>
  <c r="K29" i="4"/>
  <c r="L29" i="4"/>
  <c r="K28" i="4"/>
  <c r="L28" i="4"/>
  <c r="K16" i="4"/>
  <c r="L16" i="4"/>
  <c r="K17" i="4"/>
  <c r="L17" i="4"/>
  <c r="K18" i="4"/>
  <c r="L18" i="4"/>
  <c r="K15" i="4"/>
  <c r="L15" i="4"/>
  <c r="N15" i="4"/>
  <c r="O15" i="4"/>
  <c r="P15" i="4"/>
  <c r="N16" i="4"/>
  <c r="O16" i="4"/>
  <c r="P16" i="4"/>
  <c r="N17" i="4"/>
  <c r="O17" i="4"/>
  <c r="P17" i="4"/>
  <c r="N18" i="4"/>
  <c r="O18" i="4"/>
  <c r="P18" i="4"/>
  <c r="N28" i="4"/>
  <c r="O28" i="4"/>
  <c r="P28" i="4"/>
  <c r="N29" i="4"/>
  <c r="O29" i="4"/>
  <c r="P29" i="4"/>
  <c r="N30" i="4"/>
  <c r="O30" i="4"/>
  <c r="P30" i="4"/>
  <c r="N31" i="4"/>
  <c r="O31" i="4"/>
  <c r="P31" i="4"/>
  <c r="P33" i="4"/>
  <c r="N40" i="4"/>
  <c r="O40" i="4"/>
  <c r="P40" i="4"/>
  <c r="N41" i="4"/>
  <c r="O41" i="4"/>
  <c r="P41" i="4"/>
  <c r="N42" i="4"/>
  <c r="O42" i="4"/>
  <c r="P42" i="4"/>
  <c r="N43" i="4"/>
  <c r="O43" i="4"/>
  <c r="P43" i="4"/>
  <c r="N53" i="4"/>
  <c r="O53" i="4"/>
  <c r="P53" i="4"/>
  <c r="N5" i="18"/>
  <c r="N6" i="18"/>
  <c r="N7" i="18"/>
  <c r="N8" i="18"/>
  <c r="N9" i="18"/>
  <c r="N10" i="18"/>
  <c r="N11" i="18"/>
  <c r="N12" i="18"/>
  <c r="N13" i="18"/>
  <c r="N14" i="18"/>
  <c r="N15" i="18"/>
  <c r="N16" i="18"/>
  <c r="N4" i="18"/>
  <c r="D40" i="3"/>
  <c r="D25" i="3"/>
  <c r="E6" i="3"/>
  <c r="J15" i="1"/>
  <c r="D66" i="3"/>
  <c r="E7" i="3"/>
  <c r="J16" i="1"/>
  <c r="F20" i="4"/>
  <c r="E4" i="4"/>
  <c r="F33" i="4"/>
  <c r="E5" i="4"/>
  <c r="F45" i="4"/>
  <c r="F52" i="4"/>
  <c r="F55" i="4"/>
  <c r="E7" i="4"/>
  <c r="E6" i="4"/>
  <c r="H42" i="18"/>
  <c r="G4" i="18"/>
  <c r="H27" i="18"/>
  <c r="H28" i="18"/>
  <c r="H29" i="18"/>
  <c r="H31" i="18"/>
  <c r="H30" i="18"/>
  <c r="H32" i="18"/>
  <c r="H33" i="18"/>
  <c r="G6" i="18"/>
  <c r="H6" i="18"/>
  <c r="H34" i="18"/>
  <c r="H35" i="18"/>
  <c r="H36" i="18"/>
  <c r="H37" i="18"/>
  <c r="H38" i="18"/>
  <c r="H39" i="18"/>
  <c r="H40" i="18"/>
  <c r="H41" i="18"/>
  <c r="H43" i="18"/>
  <c r="H44" i="18"/>
  <c r="H45" i="18"/>
  <c r="G46" i="18"/>
  <c r="H46" i="18"/>
  <c r="G47" i="18"/>
  <c r="H47" i="18"/>
  <c r="G5" i="18"/>
  <c r="G7" i="18"/>
  <c r="G8" i="18"/>
  <c r="G9" i="18"/>
  <c r="G10" i="18"/>
  <c r="G11" i="18"/>
  <c r="G12" i="18"/>
  <c r="G13" i="18"/>
  <c r="G14" i="18"/>
  <c r="G15" i="18"/>
  <c r="G16" i="18"/>
  <c r="F20" i="8"/>
  <c r="F5" i="8"/>
  <c r="J43" i="1"/>
  <c r="F6" i="8"/>
  <c r="J44" i="1"/>
  <c r="G48" i="8"/>
  <c r="G49" i="8"/>
  <c r="G50" i="8"/>
  <c r="G52" i="8"/>
  <c r="F7" i="8"/>
  <c r="J45" i="1"/>
  <c r="G71" i="8"/>
  <c r="G72" i="8"/>
  <c r="G73" i="8"/>
  <c r="G74" i="8"/>
  <c r="G75" i="8"/>
  <c r="G77" i="8"/>
  <c r="G93" i="8"/>
  <c r="F94" i="8"/>
  <c r="E94" i="8"/>
  <c r="G94" i="8"/>
  <c r="G96" i="8"/>
  <c r="E20" i="5"/>
  <c r="E4" i="5"/>
  <c r="E27" i="5"/>
  <c r="E5" i="5"/>
  <c r="E6" i="5"/>
  <c r="E44" i="5"/>
  <c r="E7" i="5"/>
  <c r="E6" i="11"/>
  <c r="B53" i="26"/>
  <c r="E70" i="13"/>
  <c r="D57" i="13"/>
  <c r="D58" i="13"/>
  <c r="D53" i="13"/>
  <c r="D56" i="13"/>
  <c r="E56" i="13"/>
  <c r="N11" i="14"/>
  <c r="O11" i="14"/>
  <c r="P11" i="14"/>
  <c r="Q11" i="14"/>
  <c r="R11" i="14"/>
  <c r="R15" i="14"/>
  <c r="E4" i="14"/>
  <c r="J58" i="1"/>
  <c r="B55" i="26"/>
  <c r="Q12" i="14"/>
  <c r="R12" i="14"/>
  <c r="Q13" i="14"/>
  <c r="R13" i="14"/>
  <c r="H14" i="15"/>
  <c r="H15" i="15"/>
  <c r="E10" i="5"/>
  <c r="D18" i="16"/>
  <c r="J4" i="18"/>
  <c r="J6" i="18"/>
  <c r="J7" i="18"/>
  <c r="J8" i="18"/>
  <c r="J9" i="18"/>
  <c r="J10" i="18"/>
  <c r="J11" i="18"/>
  <c r="J12" i="18"/>
  <c r="J13" i="18"/>
  <c r="J14" i="18"/>
  <c r="J15" i="18"/>
  <c r="J16" i="18"/>
  <c r="I6" i="18"/>
  <c r="I8" i="18"/>
  <c r="I10" i="18"/>
  <c r="I12" i="18"/>
  <c r="I14" i="18"/>
  <c r="I16" i="18"/>
  <c r="H8" i="18"/>
  <c r="H10" i="18"/>
  <c r="H12" i="18"/>
  <c r="H13" i="18"/>
  <c r="H14" i="18"/>
  <c r="H15" i="18"/>
  <c r="H16" i="18"/>
  <c r="I17" i="8"/>
  <c r="I20" i="8"/>
  <c r="I5" i="8"/>
  <c r="P44" i="1"/>
  <c r="I6" i="8"/>
  <c r="M47" i="8"/>
  <c r="P47" i="8"/>
  <c r="K48" i="8"/>
  <c r="K49" i="8"/>
  <c r="N49" i="8"/>
  <c r="P49" i="8"/>
  <c r="K50" i="8"/>
  <c r="N50" i="8"/>
  <c r="P50" i="8"/>
  <c r="P71" i="8"/>
  <c r="P72" i="8"/>
  <c r="P73" i="8"/>
  <c r="K74" i="8"/>
  <c r="N74" i="8"/>
  <c r="P74" i="8"/>
  <c r="N75" i="8"/>
  <c r="P77" i="8"/>
  <c r="P93" i="8"/>
  <c r="P94" i="8"/>
  <c r="P96" i="8"/>
  <c r="H17" i="8"/>
  <c r="H20" i="8"/>
  <c r="H5" i="8"/>
  <c r="H34" i="8"/>
  <c r="H6" i="8"/>
  <c r="N44" i="1"/>
  <c r="M49" i="8"/>
  <c r="M50" i="8"/>
  <c r="M71" i="8"/>
  <c r="M72" i="8"/>
  <c r="M73" i="8"/>
  <c r="M74" i="8"/>
  <c r="M75" i="8"/>
  <c r="M77" i="8"/>
  <c r="M79" i="8"/>
  <c r="H8" i="8"/>
  <c r="N46" i="1"/>
  <c r="M93" i="8"/>
  <c r="M94" i="8"/>
  <c r="M96" i="8"/>
  <c r="H9" i="8"/>
  <c r="N47" i="1"/>
  <c r="H104" i="8"/>
  <c r="H10" i="8"/>
  <c r="N48" i="1"/>
  <c r="G17" i="8"/>
  <c r="G20" i="8"/>
  <c r="G5" i="8"/>
  <c r="L43" i="1"/>
  <c r="L45" i="1"/>
  <c r="G6" i="8"/>
  <c r="L44" i="1"/>
  <c r="J48" i="8"/>
  <c r="J49" i="8"/>
  <c r="J50" i="8"/>
  <c r="J52" i="8"/>
  <c r="G7" i="8"/>
  <c r="I71" i="8"/>
  <c r="J71" i="8"/>
  <c r="I72" i="8"/>
  <c r="J72" i="8"/>
  <c r="I73" i="8"/>
  <c r="J73" i="8"/>
  <c r="I74" i="8"/>
  <c r="J74" i="8"/>
  <c r="I75" i="8"/>
  <c r="J75" i="8"/>
  <c r="I77" i="8"/>
  <c r="J77" i="8"/>
  <c r="J92" i="8"/>
  <c r="J93" i="8"/>
  <c r="J94" i="8"/>
  <c r="J96" i="8"/>
  <c r="I20" i="4"/>
  <c r="H4" i="4"/>
  <c r="I33" i="4"/>
  <c r="H5" i="4"/>
  <c r="I45" i="4"/>
  <c r="H6" i="4"/>
  <c r="H20" i="4"/>
  <c r="H33" i="4"/>
  <c r="G5" i="4"/>
  <c r="H45" i="4"/>
  <c r="G20" i="4"/>
  <c r="N20" i="4"/>
  <c r="G33" i="4"/>
  <c r="F5" i="4"/>
  <c r="G45" i="4"/>
  <c r="N45" i="4"/>
  <c r="F6" i="4"/>
  <c r="G52" i="4"/>
  <c r="F17" i="5"/>
  <c r="F18" i="5"/>
  <c r="F25" i="5"/>
  <c r="F32" i="5"/>
  <c r="G32" i="5"/>
  <c r="H32" i="5"/>
  <c r="F6" i="5"/>
  <c r="F39" i="5"/>
  <c r="G39" i="5"/>
  <c r="F40" i="5"/>
  <c r="G40" i="5"/>
  <c r="F41" i="5"/>
  <c r="F42" i="5"/>
  <c r="F44" i="5"/>
  <c r="F7" i="5"/>
  <c r="L22" i="1"/>
  <c r="G17" i="5"/>
  <c r="H17" i="5"/>
  <c r="G18" i="5"/>
  <c r="H18" i="5"/>
  <c r="H6" i="5"/>
  <c r="H40" i="5"/>
  <c r="G41" i="5"/>
  <c r="H41" i="5"/>
  <c r="G42" i="5"/>
  <c r="H42" i="5"/>
  <c r="G6" i="5"/>
  <c r="G30" i="3"/>
  <c r="G38" i="3"/>
  <c r="G25" i="3"/>
  <c r="G37" i="3"/>
  <c r="H6" i="3"/>
  <c r="F30" i="3"/>
  <c r="F38" i="3"/>
  <c r="F25" i="3"/>
  <c r="F37" i="3"/>
  <c r="G6" i="3"/>
  <c r="N15" i="1"/>
  <c r="N17" i="1"/>
  <c r="E30" i="3"/>
  <c r="E38" i="3"/>
  <c r="E25" i="3"/>
  <c r="E37" i="3"/>
  <c r="L17" i="1"/>
  <c r="F6" i="3"/>
  <c r="L15" i="1"/>
  <c r="K28" i="18"/>
  <c r="K29" i="18"/>
  <c r="K30" i="18"/>
  <c r="L12" i="18"/>
  <c r="K31" i="18"/>
  <c r="K32" i="18"/>
  <c r="K33" i="18"/>
  <c r="K34" i="18"/>
  <c r="K35" i="18"/>
  <c r="K36" i="18"/>
  <c r="K37" i="18"/>
  <c r="K38" i="18"/>
  <c r="K39" i="18"/>
  <c r="K40" i="18"/>
  <c r="K41" i="18"/>
  <c r="K42" i="18"/>
  <c r="L4" i="18"/>
  <c r="K43" i="18"/>
  <c r="K44" i="18"/>
  <c r="K45" i="18"/>
  <c r="K46" i="18"/>
  <c r="K47" i="18"/>
  <c r="K48" i="18"/>
  <c r="J55" i="18"/>
  <c r="K55" i="18"/>
  <c r="K56" i="18"/>
  <c r="K57" i="18"/>
  <c r="K58" i="18"/>
  <c r="K59" i="18"/>
  <c r="K60" i="18"/>
  <c r="K61" i="18"/>
  <c r="K62" i="18"/>
  <c r="K63" i="18"/>
  <c r="K64" i="18"/>
  <c r="K65" i="18"/>
  <c r="K66" i="18"/>
  <c r="K67" i="18"/>
  <c r="K68" i="18"/>
  <c r="K69" i="18"/>
  <c r="K70" i="18"/>
  <c r="K71" i="18"/>
  <c r="K72" i="18"/>
  <c r="K73" i="18"/>
  <c r="K74" i="18"/>
  <c r="K75" i="18"/>
  <c r="K76" i="18"/>
  <c r="J27" i="18"/>
  <c r="K27" i="18"/>
  <c r="E57" i="4"/>
  <c r="F10" i="18"/>
  <c r="F11" i="18"/>
  <c r="H76" i="18"/>
  <c r="F12" i="18"/>
  <c r="F46" i="4"/>
  <c r="G74" i="18"/>
  <c r="G73" i="18"/>
  <c r="G72" i="18"/>
  <c r="G71" i="18"/>
  <c r="G78" i="18"/>
  <c r="G50" i="18"/>
  <c r="D33" i="13"/>
  <c r="D36" i="13"/>
  <c r="C18" i="14"/>
  <c r="C19" i="14"/>
  <c r="C21" i="14"/>
  <c r="M15" i="14"/>
  <c r="N13" i="14"/>
  <c r="O13" i="14"/>
  <c r="P13" i="14"/>
  <c r="N12" i="14"/>
  <c r="O12" i="14"/>
  <c r="P12" i="14"/>
  <c r="N10" i="14"/>
  <c r="O10" i="14"/>
  <c r="G75" i="18"/>
  <c r="H75" i="18"/>
  <c r="F9" i="18"/>
  <c r="H73" i="18"/>
  <c r="F8" i="18"/>
  <c r="H74" i="18"/>
  <c r="F13" i="18"/>
  <c r="I13" i="15"/>
  <c r="I34" i="15"/>
  <c r="D22" i="1"/>
  <c r="D21" i="1"/>
  <c r="E34" i="5"/>
  <c r="H96" i="8"/>
  <c r="K96" i="8"/>
  <c r="N96" i="8"/>
  <c r="E96" i="8"/>
  <c r="K79" i="8"/>
  <c r="H79" i="8"/>
  <c r="O45" i="8"/>
  <c r="L45" i="8"/>
  <c r="H52" i="8"/>
  <c r="I45" i="8"/>
  <c r="K52" i="8"/>
  <c r="E79" i="8"/>
  <c r="E52" i="8"/>
  <c r="F45" i="8"/>
  <c r="H56" i="18"/>
  <c r="H57" i="18"/>
  <c r="H58" i="18"/>
  <c r="H59" i="18"/>
  <c r="H60" i="18"/>
  <c r="H61" i="18"/>
  <c r="F6" i="18"/>
  <c r="H62" i="18"/>
  <c r="H63" i="18"/>
  <c r="H64" i="18"/>
  <c r="H65" i="18"/>
  <c r="H66" i="18"/>
  <c r="H67" i="18"/>
  <c r="H68" i="18"/>
  <c r="F16" i="18"/>
  <c r="H69" i="18"/>
  <c r="F15" i="18"/>
  <c r="H70" i="18"/>
  <c r="F4" i="18"/>
  <c r="H55" i="18"/>
  <c r="H72" i="18"/>
  <c r="F14" i="18"/>
  <c r="H71" i="18"/>
  <c r="F7" i="18"/>
  <c r="H50" i="18"/>
  <c r="F34" i="5"/>
  <c r="E19" i="3"/>
  <c r="E20" i="3"/>
  <c r="F19" i="3"/>
  <c r="F20" i="3"/>
  <c r="G19" i="3"/>
  <c r="G20" i="3"/>
  <c r="D19" i="3"/>
  <c r="D20" i="3"/>
  <c r="G34" i="5"/>
  <c r="H34" i="5"/>
  <c r="D6" i="4"/>
  <c r="D5" i="4"/>
  <c r="D4" i="4"/>
  <c r="G59" i="2"/>
  <c r="F8" i="2"/>
  <c r="L9" i="1"/>
  <c r="J8" i="1"/>
  <c r="H52" i="2"/>
  <c r="G52" i="2"/>
  <c r="E6" i="2"/>
  <c r="J7" i="1"/>
  <c r="H5" i="2"/>
  <c r="P6" i="1"/>
  <c r="G20" i="2"/>
  <c r="F5" i="2"/>
  <c r="L6" i="1"/>
  <c r="D44" i="1"/>
  <c r="D45" i="1"/>
  <c r="D46" i="1"/>
  <c r="D47" i="1"/>
  <c r="D48" i="1"/>
  <c r="D43" i="1"/>
  <c r="L6" i="18"/>
  <c r="L9" i="18"/>
  <c r="L10" i="18"/>
  <c r="L11" i="18"/>
  <c r="L14" i="18"/>
  <c r="L8" i="18"/>
  <c r="L15" i="18"/>
  <c r="L7" i="18"/>
  <c r="L13" i="18"/>
  <c r="L16" i="18"/>
  <c r="D20" i="1"/>
  <c r="D19" i="1"/>
  <c r="D14" i="1"/>
  <c r="D15" i="1"/>
  <c r="D16" i="1"/>
  <c r="D17" i="1"/>
  <c r="D13" i="1"/>
  <c r="F21" i="4"/>
  <c r="G21" i="4"/>
  <c r="I21" i="4"/>
  <c r="F59" i="2"/>
  <c r="E8" i="2"/>
  <c r="J9" i="1"/>
  <c r="F34" i="4"/>
  <c r="F20" i="2"/>
  <c r="E5" i="2"/>
  <c r="J6" i="1"/>
  <c r="A49" i="26"/>
  <c r="A4" i="26"/>
  <c r="F56" i="4"/>
  <c r="H34" i="4"/>
  <c r="I34" i="4"/>
  <c r="I46" i="4"/>
  <c r="G46" i="4"/>
  <c r="F66" i="2"/>
  <c r="E9" i="2"/>
  <c r="J10" i="1"/>
  <c r="G66" i="2"/>
  <c r="F9" i="2"/>
  <c r="H66" i="2"/>
  <c r="G9" i="2"/>
  <c r="N10" i="1"/>
  <c r="I66" i="2"/>
  <c r="H9" i="2"/>
  <c r="L10" i="1"/>
  <c r="I7" i="4"/>
  <c r="I6" i="4"/>
  <c r="I5" i="4"/>
  <c r="I4" i="4"/>
  <c r="D7" i="4"/>
  <c r="I9" i="4"/>
  <c r="E9" i="4"/>
  <c r="H6" i="11"/>
  <c r="G6" i="11"/>
  <c r="F6" i="11"/>
  <c r="G14" i="15"/>
  <c r="H34" i="15"/>
  <c r="G104" i="36"/>
  <c r="G10" i="36"/>
  <c r="G12" i="36"/>
  <c r="G96" i="36"/>
  <c r="E141" i="45"/>
  <c r="E142" i="45"/>
  <c r="G91" i="34"/>
  <c r="G93" i="34"/>
  <c r="G94" i="34"/>
  <c r="P24" i="1"/>
  <c r="E18" i="31"/>
  <c r="P1" i="23"/>
  <c r="L1" i="23"/>
  <c r="N1" i="23"/>
  <c r="D46" i="22"/>
  <c r="D20" i="22"/>
  <c r="B93" i="45"/>
  <c r="L93" i="45"/>
  <c r="D45" i="22"/>
  <c r="D22" i="22"/>
  <c r="B95" i="45"/>
  <c r="L97" i="45"/>
  <c r="D47" i="22"/>
  <c r="B149" i="45"/>
  <c r="D23" i="22"/>
  <c r="B96" i="45"/>
  <c r="L98" i="45"/>
  <c r="D14" i="22"/>
  <c r="D44" i="22"/>
  <c r="D49" i="22"/>
  <c r="D21" i="22"/>
  <c r="B94" i="45"/>
  <c r="L96" i="45"/>
  <c r="D48" i="22"/>
  <c r="B150" i="45"/>
  <c r="N16" i="35"/>
  <c r="G16" i="35"/>
  <c r="E57" i="13"/>
  <c r="E58" i="13"/>
  <c r="G15" i="15"/>
  <c r="J1" i="23"/>
  <c r="F4" i="12"/>
  <c r="C53" i="26"/>
  <c r="G40" i="3"/>
  <c r="H4" i="3"/>
  <c r="P13" i="1"/>
  <c r="F40" i="3"/>
  <c r="G4" i="3"/>
  <c r="O45" i="4"/>
  <c r="G6" i="4"/>
  <c r="H52" i="4"/>
  <c r="H46" i="4"/>
  <c r="N52" i="36"/>
  <c r="P48" i="36"/>
  <c r="O15" i="14"/>
  <c r="H4" i="14"/>
  <c r="P58" i="1"/>
  <c r="P10" i="14"/>
  <c r="H39" i="5"/>
  <c r="H44" i="5"/>
  <c r="H7" i="5"/>
  <c r="G44" i="5"/>
  <c r="G7" i="5"/>
  <c r="N22" i="1"/>
  <c r="F27" i="5"/>
  <c r="F5" i="5"/>
  <c r="G25" i="5"/>
  <c r="G16" i="5"/>
  <c r="F20" i="5"/>
  <c r="F4" i="5"/>
  <c r="P79" i="8"/>
  <c r="I8" i="8"/>
  <c r="P46" i="1"/>
  <c r="O19" i="35"/>
  <c r="P19" i="35"/>
  <c r="N19" i="35"/>
  <c r="N52" i="4"/>
  <c r="G55" i="4"/>
  <c r="N33" i="4"/>
  <c r="G34" i="4"/>
  <c r="N43" i="1"/>
  <c r="H12" i="8"/>
  <c r="E10" i="4"/>
  <c r="P43" i="1"/>
  <c r="D46" i="3"/>
  <c r="D48" i="3"/>
  <c r="E5" i="3"/>
  <c r="J14" i="1"/>
  <c r="E4" i="3"/>
  <c r="H78" i="18"/>
  <c r="G104" i="8"/>
  <c r="G10" i="8"/>
  <c r="L48" i="1"/>
  <c r="G9" i="8"/>
  <c r="L47" i="1"/>
  <c r="J79" i="8"/>
  <c r="G8" i="8"/>
  <c r="F104" i="8"/>
  <c r="F10" i="8"/>
  <c r="J48" i="1"/>
  <c r="F9" i="8"/>
  <c r="J47" i="1"/>
  <c r="H5" i="18"/>
  <c r="I5" i="18"/>
  <c r="G18" i="18"/>
  <c r="G19" i="18"/>
  <c r="J5" i="18"/>
  <c r="H42" i="35"/>
  <c r="G47" i="35"/>
  <c r="G7" i="35"/>
  <c r="P75" i="8"/>
  <c r="N79" i="8"/>
  <c r="F5" i="18"/>
  <c r="F19" i="18"/>
  <c r="L5" i="18"/>
  <c r="G4" i="4"/>
  <c r="O20" i="4"/>
  <c r="H21" i="4"/>
  <c r="E4" i="16"/>
  <c r="J60" i="1"/>
  <c r="G4" i="16"/>
  <c r="N60" i="1"/>
  <c r="F4" i="16"/>
  <c r="L60" i="1"/>
  <c r="H4" i="16"/>
  <c r="P60" i="1"/>
  <c r="F56" i="13"/>
  <c r="G56" i="13"/>
  <c r="F57" i="13"/>
  <c r="F70" i="13"/>
  <c r="E40" i="3"/>
  <c r="P20" i="4"/>
  <c r="I104" i="8"/>
  <c r="I10" i="8"/>
  <c r="P48" i="1"/>
  <c r="I9" i="8"/>
  <c r="P47" i="1"/>
  <c r="N48" i="8"/>
  <c r="M48" i="8"/>
  <c r="M52" i="8"/>
  <c r="H7" i="8"/>
  <c r="N45" i="1"/>
  <c r="I13" i="18"/>
  <c r="I9" i="18"/>
  <c r="H9" i="18"/>
  <c r="O18" i="35"/>
  <c r="P18" i="35"/>
  <c r="F64" i="3"/>
  <c r="E66" i="3"/>
  <c r="F7" i="3"/>
  <c r="L16" i="1"/>
  <c r="P45" i="4"/>
  <c r="I52" i="4"/>
  <c r="H35" i="35"/>
  <c r="G37" i="35"/>
  <c r="G6" i="35"/>
  <c r="L21" i="1"/>
  <c r="F4" i="4"/>
  <c r="O33" i="4"/>
  <c r="I4" i="18"/>
  <c r="H4" i="18"/>
  <c r="H12" i="36"/>
  <c r="G79" i="8"/>
  <c r="F8" i="8"/>
  <c r="I15" i="18"/>
  <c r="I11" i="18"/>
  <c r="H11" i="18"/>
  <c r="F104" i="36"/>
  <c r="F10" i="36"/>
  <c r="F9" i="36"/>
  <c r="H7" i="18"/>
  <c r="I7" i="18"/>
  <c r="P52" i="36"/>
  <c r="I7" i="36"/>
  <c r="N8" i="1"/>
  <c r="H59" i="2"/>
  <c r="G8" i="2"/>
  <c r="N9" i="1"/>
  <c r="L8" i="1"/>
  <c r="F6" i="2"/>
  <c r="L7" i="1"/>
  <c r="G6" i="2"/>
  <c r="N7" i="1"/>
  <c r="J5" i="1"/>
  <c r="G5" i="2"/>
  <c r="N6" i="1"/>
  <c r="P74" i="36"/>
  <c r="P79" i="36"/>
  <c r="I8" i="36"/>
  <c r="I12" i="36"/>
  <c r="N79" i="36"/>
  <c r="G5" i="35"/>
  <c r="H5" i="35"/>
  <c r="F5" i="35"/>
  <c r="I7" i="34"/>
  <c r="I27" i="1"/>
  <c r="B146" i="45"/>
  <c r="P18" i="22"/>
  <c r="P28" i="22"/>
  <c r="F7" i="45"/>
  <c r="P27" i="22"/>
  <c r="F6" i="45"/>
  <c r="B147" i="45"/>
  <c r="B148" i="45"/>
  <c r="N27" i="22"/>
  <c r="E6" i="45"/>
  <c r="N28" i="22"/>
  <c r="E7" i="45"/>
  <c r="J9" i="22"/>
  <c r="J27" i="22"/>
  <c r="C6" i="45"/>
  <c r="J28" i="22"/>
  <c r="C7" i="45"/>
  <c r="J25" i="22"/>
  <c r="L27" i="22"/>
  <c r="D6" i="45"/>
  <c r="L28" i="22"/>
  <c r="D7" i="45"/>
  <c r="G21" i="35"/>
  <c r="G4" i="35"/>
  <c r="G10" i="35"/>
  <c r="D64" i="15"/>
  <c r="J19" i="1"/>
  <c r="P25" i="22"/>
  <c r="F4" i="45"/>
  <c r="F34" i="45"/>
  <c r="P7" i="22"/>
  <c r="G9" i="34"/>
  <c r="N29" i="1"/>
  <c r="N30" i="22"/>
  <c r="H80" i="34"/>
  <c r="H82" i="34"/>
  <c r="H83" i="34"/>
  <c r="E80" i="34"/>
  <c r="E82" i="34"/>
  <c r="E83" i="34"/>
  <c r="G80" i="34"/>
  <c r="G82" i="34"/>
  <c r="G83" i="34"/>
  <c r="H91" i="34"/>
  <c r="H93" i="34"/>
  <c r="H94" i="34"/>
  <c r="F91" i="34"/>
  <c r="F93" i="34"/>
  <c r="F94" i="34"/>
  <c r="E91" i="34"/>
  <c r="E93" i="34"/>
  <c r="E94" i="34"/>
  <c r="F80" i="34"/>
  <c r="F82" i="34"/>
  <c r="F83" i="34"/>
  <c r="P9" i="22"/>
  <c r="F32" i="45"/>
  <c r="F33" i="45"/>
  <c r="F31" i="45"/>
  <c r="P11" i="22"/>
  <c r="F36" i="45"/>
  <c r="P16" i="22"/>
  <c r="P44" i="22"/>
  <c r="F146" i="45"/>
  <c r="F30" i="45"/>
  <c r="F35" i="45"/>
  <c r="E3" i="33"/>
  <c r="E4" i="33"/>
  <c r="N7" i="22"/>
  <c r="J7" i="22"/>
  <c r="J11" i="22"/>
  <c r="L9" i="22"/>
  <c r="L17" i="22"/>
  <c r="J6" i="22"/>
  <c r="J15" i="22"/>
  <c r="J18" i="22"/>
  <c r="J17" i="22"/>
  <c r="L10" i="22"/>
  <c r="N18" i="22"/>
  <c r="J8" i="22"/>
  <c r="L44" i="22"/>
  <c r="D146" i="45"/>
  <c r="L18" i="22"/>
  <c r="E34" i="45"/>
  <c r="E32" i="45"/>
  <c r="E30" i="45"/>
  <c r="E36" i="45"/>
  <c r="E31" i="45"/>
  <c r="E33" i="45"/>
  <c r="E35" i="45"/>
  <c r="N16" i="22"/>
  <c r="N10" i="22"/>
  <c r="L8" i="22"/>
  <c r="N9" i="22"/>
  <c r="N44" i="22"/>
  <c r="E146" i="45"/>
  <c r="C33" i="45"/>
  <c r="C32" i="45"/>
  <c r="C35" i="45"/>
  <c r="C36" i="45"/>
  <c r="C31" i="45"/>
  <c r="C34" i="45"/>
  <c r="J32" i="22"/>
  <c r="C28" i="45"/>
  <c r="C30" i="45"/>
  <c r="L16" i="22"/>
  <c r="J16" i="22"/>
  <c r="J44" i="22"/>
  <c r="C146" i="45"/>
  <c r="N11" i="22"/>
  <c r="N8" i="22"/>
  <c r="D35" i="45"/>
  <c r="D33" i="45"/>
  <c r="D36" i="45"/>
  <c r="D32" i="45"/>
  <c r="D34" i="45"/>
  <c r="D30" i="45"/>
  <c r="D31" i="45"/>
  <c r="L7" i="22"/>
  <c r="L11" i="22"/>
  <c r="J10" i="22"/>
  <c r="D47" i="13"/>
  <c r="D64" i="13"/>
  <c r="D66" i="13"/>
  <c r="D69" i="13"/>
  <c r="D71" i="13"/>
  <c r="P16" i="35"/>
  <c r="I16" i="35"/>
  <c r="I21" i="35"/>
  <c r="I4" i="35"/>
  <c r="O16" i="35"/>
  <c r="J59" i="22"/>
  <c r="J57" i="22"/>
  <c r="B3" i="33"/>
  <c r="B4" i="33"/>
  <c r="H8" i="2"/>
  <c r="G46" i="3"/>
  <c r="G48" i="3"/>
  <c r="H5" i="3"/>
  <c r="F46" i="3"/>
  <c r="F48" i="3"/>
  <c r="G5" i="3"/>
  <c r="N14" i="1"/>
  <c r="N15" i="22"/>
  <c r="L57" i="22"/>
  <c r="N24" i="1"/>
  <c r="N25" i="22"/>
  <c r="E4" i="45"/>
  <c r="J24" i="1"/>
  <c r="C4" i="45"/>
  <c r="I18" i="18"/>
  <c r="I19" i="18"/>
  <c r="P48" i="8"/>
  <c r="P52" i="8"/>
  <c r="I7" i="8"/>
  <c r="N52" i="8"/>
  <c r="F4" i="3"/>
  <c r="E46" i="3"/>
  <c r="E48" i="3"/>
  <c r="F5" i="3"/>
  <c r="L14" i="1"/>
  <c r="L15" i="22"/>
  <c r="N61" i="22"/>
  <c r="D57" i="26"/>
  <c r="N13" i="1"/>
  <c r="K52" i="4"/>
  <c r="L52" i="4"/>
  <c r="P52" i="4"/>
  <c r="I55" i="4"/>
  <c r="G64" i="3"/>
  <c r="G66" i="3"/>
  <c r="H7" i="3"/>
  <c r="P17" i="22"/>
  <c r="F66" i="3"/>
  <c r="G7" i="3"/>
  <c r="N16" i="1"/>
  <c r="N17" i="22"/>
  <c r="N42" i="1"/>
  <c r="N43" i="22"/>
  <c r="F10" i="5"/>
  <c r="P59" i="22"/>
  <c r="E55" i="26"/>
  <c r="L24" i="1"/>
  <c r="L25" i="22"/>
  <c r="D4" i="45"/>
  <c r="J46" i="1"/>
  <c r="F12" i="8"/>
  <c r="H18" i="18"/>
  <c r="H19" i="18"/>
  <c r="C3" i="33"/>
  <c r="C4" i="33"/>
  <c r="I35" i="35"/>
  <c r="H37" i="35"/>
  <c r="H6" i="35"/>
  <c r="N21" i="1"/>
  <c r="F58" i="13"/>
  <c r="G57" i="13"/>
  <c r="G58" i="13"/>
  <c r="C57" i="26"/>
  <c r="L61" i="22"/>
  <c r="J18" i="18"/>
  <c r="J19" i="18"/>
  <c r="H25" i="5"/>
  <c r="H27" i="5"/>
  <c r="H5" i="5"/>
  <c r="G27" i="5"/>
  <c r="G5" i="5"/>
  <c r="L18" i="18"/>
  <c r="J13" i="1"/>
  <c r="E10" i="3"/>
  <c r="N55" i="4"/>
  <c r="F7" i="4"/>
  <c r="F9" i="4"/>
  <c r="F10" i="4"/>
  <c r="G56" i="4"/>
  <c r="P15" i="14"/>
  <c r="G4" i="14"/>
  <c r="N58" i="1"/>
  <c r="Q10" i="14"/>
  <c r="Q15" i="14"/>
  <c r="F4" i="14"/>
  <c r="L58" i="1"/>
  <c r="O52" i="4"/>
  <c r="H55" i="4"/>
  <c r="B57" i="26"/>
  <c r="J61" i="22"/>
  <c r="I28" i="22"/>
  <c r="I23" i="1"/>
  <c r="I24" i="22"/>
  <c r="D3" i="33"/>
  <c r="D4" i="33"/>
  <c r="G70" i="13"/>
  <c r="P61" i="22"/>
  <c r="E57" i="26"/>
  <c r="H47" i="35"/>
  <c r="H7" i="35"/>
  <c r="I42" i="35"/>
  <c r="I47" i="35"/>
  <c r="I7" i="35"/>
  <c r="G12" i="8"/>
  <c r="L46" i="1"/>
  <c r="H16" i="5"/>
  <c r="H20" i="5"/>
  <c r="H4" i="5"/>
  <c r="G20" i="5"/>
  <c r="G4" i="5"/>
  <c r="L5" i="1"/>
  <c r="H6" i="2"/>
  <c r="N5" i="1"/>
  <c r="E9" i="45"/>
  <c r="J14" i="22"/>
  <c r="J12" i="1"/>
  <c r="N14" i="22"/>
  <c r="N12" i="1"/>
  <c r="J18" i="1"/>
  <c r="G64" i="15"/>
  <c r="H16" i="35"/>
  <c r="H21" i="35"/>
  <c r="N19" i="1"/>
  <c r="L19" i="1"/>
  <c r="E9" i="34"/>
  <c r="J29" i="1"/>
  <c r="J30" i="22"/>
  <c r="F9" i="34"/>
  <c r="L29" i="1"/>
  <c r="L30" i="22"/>
  <c r="H9" i="34"/>
  <c r="P29" i="1"/>
  <c r="P30" i="22"/>
  <c r="F8" i="34"/>
  <c r="L28" i="1"/>
  <c r="L29" i="22"/>
  <c r="D8" i="45"/>
  <c r="G8" i="34"/>
  <c r="N28" i="1"/>
  <c r="N29" i="22"/>
  <c r="E8" i="45"/>
  <c r="E8" i="34"/>
  <c r="J28" i="1"/>
  <c r="J29" i="22"/>
  <c r="C8" i="45"/>
  <c r="H8" i="34"/>
  <c r="P28" i="1"/>
  <c r="P29" i="22"/>
  <c r="F8" i="45"/>
  <c r="P14" i="1"/>
  <c r="E152" i="45"/>
  <c r="P9" i="1"/>
  <c r="P10" i="22"/>
  <c r="P7" i="1"/>
  <c r="P8" i="22"/>
  <c r="L6" i="22"/>
  <c r="N6" i="22"/>
  <c r="D152" i="45"/>
  <c r="C152" i="45"/>
  <c r="C70" i="26"/>
  <c r="D183" i="45"/>
  <c r="B66" i="26"/>
  <c r="C178" i="45"/>
  <c r="E70" i="26"/>
  <c r="F183" i="45"/>
  <c r="E68" i="26"/>
  <c r="F181" i="45"/>
  <c r="D70" i="26"/>
  <c r="E183" i="45"/>
  <c r="B68" i="26"/>
  <c r="C181" i="45"/>
  <c r="B70" i="26"/>
  <c r="C183" i="45"/>
  <c r="C66" i="26"/>
  <c r="D178" i="45"/>
  <c r="D73" i="13"/>
  <c r="F5" i="13"/>
  <c r="J57" i="1"/>
  <c r="E69" i="13"/>
  <c r="F4" i="35"/>
  <c r="D32" i="15"/>
  <c r="D34" i="15"/>
  <c r="G10" i="3"/>
  <c r="H10" i="3"/>
  <c r="J13" i="22"/>
  <c r="N59" i="22"/>
  <c r="D55" i="26"/>
  <c r="H10" i="5"/>
  <c r="I6" i="35"/>
  <c r="P21" i="1"/>
  <c r="I37" i="35"/>
  <c r="J42" i="1"/>
  <c r="J43" i="22"/>
  <c r="D53" i="26"/>
  <c r="N57" i="22"/>
  <c r="C55" i="26"/>
  <c r="L59" i="22"/>
  <c r="K55" i="4"/>
  <c r="L55" i="4"/>
  <c r="P55" i="4"/>
  <c r="I56" i="4"/>
  <c r="H7" i="4"/>
  <c r="H9" i="4"/>
  <c r="H10" i="4"/>
  <c r="L13" i="1"/>
  <c r="F10" i="3"/>
  <c r="H69" i="34"/>
  <c r="L42" i="1"/>
  <c r="L43" i="22"/>
  <c r="N13" i="22"/>
  <c r="G10" i="5"/>
  <c r="O55" i="4"/>
  <c r="G7" i="4"/>
  <c r="G9" i="4"/>
  <c r="G10" i="4"/>
  <c r="H56" i="4"/>
  <c r="D28" i="26"/>
  <c r="N49" i="1"/>
  <c r="N50" i="22"/>
  <c r="D13" i="26"/>
  <c r="E53" i="26"/>
  <c r="P57" i="22"/>
  <c r="P45" i="1"/>
  <c r="F152" i="45"/>
  <c r="I12" i="8"/>
  <c r="F69" i="34"/>
  <c r="E69" i="34"/>
  <c r="G69" i="34"/>
  <c r="C9" i="45"/>
  <c r="F9" i="45"/>
  <c r="D9" i="45"/>
  <c r="L18" i="1"/>
  <c r="L19" i="22"/>
  <c r="C24" i="26"/>
  <c r="L14" i="22"/>
  <c r="L12" i="1"/>
  <c r="P15" i="22"/>
  <c r="P12" i="1"/>
  <c r="G32" i="15"/>
  <c r="G34" i="15"/>
  <c r="G71" i="34"/>
  <c r="G7" i="34"/>
  <c r="N27" i="1"/>
  <c r="G47" i="34"/>
  <c r="G49" i="34"/>
  <c r="G50" i="34"/>
  <c r="E71" i="34"/>
  <c r="E7" i="34"/>
  <c r="J27" i="1"/>
  <c r="E47" i="34"/>
  <c r="E49" i="34"/>
  <c r="E50" i="34"/>
  <c r="F71" i="34"/>
  <c r="F7" i="34"/>
  <c r="L27" i="1"/>
  <c r="F47" i="34"/>
  <c r="F49" i="34"/>
  <c r="F50" i="34"/>
  <c r="H71" i="34"/>
  <c r="H7" i="34"/>
  <c r="H47" i="34"/>
  <c r="H49" i="34"/>
  <c r="H50" i="34"/>
  <c r="P5" i="1"/>
  <c r="P6" i="22"/>
  <c r="E66" i="26"/>
  <c r="F178" i="45"/>
  <c r="D66" i="26"/>
  <c r="E178" i="45"/>
  <c r="D68" i="26"/>
  <c r="E181" i="45"/>
  <c r="C68" i="26"/>
  <c r="D181" i="45"/>
  <c r="H4" i="35"/>
  <c r="H10" i="35"/>
  <c r="D97" i="15"/>
  <c r="J19" i="22"/>
  <c r="B24" i="26"/>
  <c r="J58" i="22"/>
  <c r="B54" i="26"/>
  <c r="F69" i="13"/>
  <c r="E71" i="13"/>
  <c r="E73" i="13"/>
  <c r="G5" i="13"/>
  <c r="L57" i="1"/>
  <c r="N18" i="1"/>
  <c r="N19" i="22"/>
  <c r="D23" i="26"/>
  <c r="D8" i="26"/>
  <c r="C28" i="26"/>
  <c r="C13" i="26"/>
  <c r="L50" i="22"/>
  <c r="P42" i="1"/>
  <c r="P43" i="22"/>
  <c r="B9" i="26"/>
  <c r="B13" i="26"/>
  <c r="B28" i="26"/>
  <c r="J49" i="1"/>
  <c r="B8" i="26"/>
  <c r="B23" i="26"/>
  <c r="R100" i="45"/>
  <c r="G97" i="15"/>
  <c r="D138" i="15"/>
  <c r="E5" i="15"/>
  <c r="J59" i="1"/>
  <c r="C9" i="26"/>
  <c r="P27" i="1"/>
  <c r="F5" i="34"/>
  <c r="G5" i="34"/>
  <c r="H5" i="34"/>
  <c r="H11" i="34"/>
  <c r="E5" i="34"/>
  <c r="E11" i="34"/>
  <c r="B67" i="26"/>
  <c r="C180" i="45"/>
  <c r="P19" i="1"/>
  <c r="P18" i="1"/>
  <c r="I10" i="35"/>
  <c r="D130" i="15"/>
  <c r="J50" i="22"/>
  <c r="L13" i="22"/>
  <c r="C23" i="26"/>
  <c r="C54" i="26"/>
  <c r="L58" i="22"/>
  <c r="G69" i="13"/>
  <c r="G71" i="13"/>
  <c r="G73" i="13"/>
  <c r="I5" i="13"/>
  <c r="P57" i="1"/>
  <c r="F71" i="13"/>
  <c r="F73" i="13"/>
  <c r="H5" i="13"/>
  <c r="N57" i="1"/>
  <c r="D9" i="26"/>
  <c r="D24" i="26"/>
  <c r="E28" i="26"/>
  <c r="E13" i="26"/>
  <c r="C8" i="26"/>
  <c r="G130" i="15"/>
  <c r="G132" i="15"/>
  <c r="D132" i="15"/>
  <c r="J60" i="22"/>
  <c r="B56" i="26"/>
  <c r="N25" i="1"/>
  <c r="G11" i="34"/>
  <c r="N23" i="1"/>
  <c r="L25" i="1"/>
  <c r="F11" i="34"/>
  <c r="J25" i="1"/>
  <c r="P25" i="1"/>
  <c r="P26" i="22"/>
  <c r="S100" i="45"/>
  <c r="C67" i="26"/>
  <c r="D180" i="45"/>
  <c r="P50" i="22"/>
  <c r="P58" i="22"/>
  <c r="E54" i="26"/>
  <c r="D54" i="26"/>
  <c r="N58" i="22"/>
  <c r="J26" i="22"/>
  <c r="N26" i="22"/>
  <c r="L26" i="22"/>
  <c r="F5" i="45"/>
  <c r="G138" i="15"/>
  <c r="H5" i="15"/>
  <c r="D134" i="15"/>
  <c r="C182" i="45"/>
  <c r="B69" i="26"/>
  <c r="G12" i="34"/>
  <c r="F12" i="34"/>
  <c r="H12" i="34"/>
  <c r="E12" i="34"/>
  <c r="J23" i="1"/>
  <c r="J24" i="22"/>
  <c r="D67" i="26"/>
  <c r="E180" i="45"/>
  <c r="E67" i="26"/>
  <c r="F180" i="45"/>
  <c r="E9" i="26"/>
  <c r="P19" i="22"/>
  <c r="E24" i="26"/>
  <c r="N24" i="22"/>
  <c r="D25" i="26"/>
  <c r="L24" i="22"/>
  <c r="C25" i="26"/>
  <c r="C10" i="26"/>
  <c r="D10" i="26"/>
  <c r="C5" i="45"/>
  <c r="H26" i="22"/>
  <c r="E5" i="45"/>
  <c r="D5" i="45"/>
  <c r="B10" i="26"/>
  <c r="B25" i="26"/>
  <c r="P24" i="22"/>
  <c r="P59" i="1"/>
  <c r="T100" i="45"/>
  <c r="P60" i="22"/>
  <c r="E56" i="26"/>
  <c r="E69" i="26"/>
  <c r="F182" i="45"/>
  <c r="F7" i="36"/>
  <c r="F12" i="36"/>
  <c r="F45" i="36"/>
  <c r="P14" i="22"/>
  <c r="P13" i="22"/>
  <c r="E8" i="26"/>
  <c r="E23" i="26"/>
  <c r="E25" i="26"/>
  <c r="E10" i="26"/>
  <c r="L15" i="37"/>
  <c r="I31" i="1"/>
  <c r="P31" i="1"/>
  <c r="I4" i="37"/>
  <c r="D90" i="15"/>
  <c r="H4" i="37"/>
  <c r="D57" i="15"/>
  <c r="G57" i="15"/>
  <c r="G66" i="15"/>
  <c r="D66" i="15"/>
  <c r="G90" i="15"/>
  <c r="G99" i="15"/>
  <c r="D99" i="15"/>
  <c r="N31" i="1"/>
  <c r="I30" i="1"/>
  <c r="L31" i="1"/>
  <c r="P32" i="22"/>
  <c r="E138" i="15"/>
  <c r="F5" i="15"/>
  <c r="L59" i="1"/>
  <c r="D68" i="15"/>
  <c r="D101" i="15"/>
  <c r="F138" i="15"/>
  <c r="G5" i="15"/>
  <c r="N59" i="1"/>
  <c r="N32" i="22"/>
  <c r="E28" i="45"/>
  <c r="F28" i="45"/>
  <c r="I52" i="1"/>
  <c r="I31" i="22"/>
  <c r="I53" i="22"/>
  <c r="L32" i="22"/>
  <c r="C56" i="26"/>
  <c r="L60" i="22"/>
  <c r="D56" i="26"/>
  <c r="N60" i="22"/>
  <c r="D28" i="45"/>
  <c r="O36" i="37"/>
  <c r="G15" i="37"/>
  <c r="G16" i="37"/>
  <c r="D182" i="45"/>
  <c r="C69" i="26"/>
  <c r="E182" i="45"/>
  <c r="D69" i="26"/>
  <c r="J5" i="37"/>
  <c r="H5" i="37"/>
  <c r="I5" i="37"/>
  <c r="J32" i="1"/>
  <c r="J30" i="1"/>
  <c r="P32" i="1"/>
  <c r="P30" i="1"/>
  <c r="F5" i="37"/>
  <c r="F16" i="37"/>
  <c r="J15" i="37"/>
  <c r="J16" i="37"/>
  <c r="I15" i="37"/>
  <c r="I16" i="37"/>
  <c r="N32" i="1"/>
  <c r="H15" i="37"/>
  <c r="H16" i="37"/>
  <c r="L32" i="1"/>
  <c r="L30" i="1"/>
  <c r="E11" i="26"/>
  <c r="P31" i="22"/>
  <c r="H4" i="7"/>
  <c r="H7" i="7"/>
  <c r="P41" i="1"/>
  <c r="B11" i="26"/>
  <c r="E4" i="7"/>
  <c r="E7" i="7"/>
  <c r="J41" i="1"/>
  <c r="C29" i="45"/>
  <c r="N30" i="1"/>
  <c r="F29" i="45"/>
  <c r="G28" i="45"/>
  <c r="E4" i="11"/>
  <c r="J55" i="1"/>
  <c r="E12" i="26"/>
  <c r="P42" i="22"/>
  <c r="I68" i="47"/>
  <c r="I71" i="47"/>
  <c r="H10" i="47"/>
  <c r="H12" i="47"/>
  <c r="I69" i="2"/>
  <c r="I72" i="2"/>
  <c r="H10" i="2"/>
  <c r="H12" i="2"/>
  <c r="L31" i="22"/>
  <c r="C11" i="26"/>
  <c r="F4" i="7"/>
  <c r="F7" i="7"/>
  <c r="L41" i="1"/>
  <c r="F4" i="11"/>
  <c r="L55" i="1"/>
  <c r="B12" i="26"/>
  <c r="J42" i="22"/>
  <c r="F68" i="47"/>
  <c r="F71" i="47"/>
  <c r="E10" i="47"/>
  <c r="E12" i="47"/>
  <c r="F69" i="2"/>
  <c r="F72" i="2"/>
  <c r="E10" i="2"/>
  <c r="E12" i="2"/>
  <c r="D11" i="26"/>
  <c r="N31" i="22"/>
  <c r="G4" i="7"/>
  <c r="G7" i="7"/>
  <c r="N41" i="1"/>
  <c r="G4" i="11"/>
  <c r="N55" i="1"/>
  <c r="B26" i="26"/>
  <c r="H4" i="11"/>
  <c r="P55" i="1"/>
  <c r="P54" i="1"/>
  <c r="E26" i="26"/>
  <c r="D29" i="45"/>
  <c r="E29" i="45"/>
  <c r="J56" i="22"/>
  <c r="C179" i="45"/>
  <c r="B52" i="26"/>
  <c r="B58" i="26"/>
  <c r="J62" i="1"/>
  <c r="C52" i="26"/>
  <c r="C58" i="26"/>
  <c r="L54" i="1"/>
  <c r="L56" i="22"/>
  <c r="D26" i="26"/>
  <c r="B27" i="26"/>
  <c r="P11" i="1"/>
  <c r="H68" i="47"/>
  <c r="H71" i="47"/>
  <c r="G10" i="47"/>
  <c r="G12" i="47"/>
  <c r="D12" i="26"/>
  <c r="H69" i="2"/>
  <c r="H72" i="2"/>
  <c r="G10" i="2"/>
  <c r="N42" i="22"/>
  <c r="E27" i="26"/>
  <c r="P56" i="22"/>
  <c r="E52" i="26"/>
  <c r="E58" i="26"/>
  <c r="C26" i="26"/>
  <c r="N54" i="1"/>
  <c r="D52" i="26"/>
  <c r="D58" i="26"/>
  <c r="N56" i="22"/>
  <c r="J11" i="1"/>
  <c r="J4" i="1"/>
  <c r="L42" i="22"/>
  <c r="C12" i="26"/>
  <c r="G68" i="47"/>
  <c r="G71" i="47"/>
  <c r="F10" i="47"/>
  <c r="F12" i="47"/>
  <c r="G69" i="2"/>
  <c r="G72" i="2"/>
  <c r="F10" i="2"/>
  <c r="P50" i="1"/>
  <c r="B65" i="26"/>
  <c r="B71" i="26"/>
  <c r="J55" i="22"/>
  <c r="C27" i="26"/>
  <c r="D27" i="26"/>
  <c r="J63" i="22"/>
  <c r="F179" i="45"/>
  <c r="E65" i="26"/>
  <c r="E71" i="26"/>
  <c r="G12" i="2"/>
  <c r="N11" i="1"/>
  <c r="N4" i="1"/>
  <c r="L62" i="1"/>
  <c r="L55" i="22"/>
  <c r="J12" i="22"/>
  <c r="N55" i="22"/>
  <c r="N62" i="1"/>
  <c r="P55" i="22"/>
  <c r="P62" i="1"/>
  <c r="L11" i="1"/>
  <c r="L4" i="1"/>
  <c r="F12" i="2"/>
  <c r="E179" i="45"/>
  <c r="D65" i="26"/>
  <c r="D71" i="26"/>
  <c r="P12" i="22"/>
  <c r="C65" i="26"/>
  <c r="C71" i="26"/>
  <c r="D179" i="45"/>
  <c r="E7" i="26"/>
  <c r="P5" i="22"/>
  <c r="P63" i="22"/>
  <c r="N63" i="22"/>
  <c r="B7" i="26"/>
  <c r="J5" i="22"/>
  <c r="J50" i="1"/>
  <c r="N12" i="22"/>
  <c r="L12" i="22"/>
  <c r="L63" i="22"/>
  <c r="B22" i="26"/>
  <c r="L5" i="22"/>
  <c r="C7" i="26"/>
  <c r="L50" i="1"/>
  <c r="L52" i="1"/>
  <c r="D7" i="26"/>
  <c r="N5" i="22"/>
  <c r="N50" i="1"/>
  <c r="E22" i="26"/>
  <c r="J51" i="22"/>
  <c r="B14" i="26"/>
  <c r="B15" i="26"/>
  <c r="P51" i="22"/>
  <c r="E14" i="26"/>
  <c r="E15" i="26"/>
  <c r="P52" i="1"/>
  <c r="K23" i="1"/>
  <c r="K27" i="1"/>
  <c r="K26" i="1"/>
  <c r="K28" i="1"/>
  <c r="K29" i="1"/>
  <c r="K25" i="1"/>
  <c r="Q28" i="1"/>
  <c r="Q26" i="1"/>
  <c r="Q27" i="1"/>
  <c r="Q29" i="1"/>
  <c r="Q25" i="1"/>
  <c r="E29" i="26"/>
  <c r="E30" i="26"/>
  <c r="K37" i="1"/>
  <c r="K18" i="1"/>
  <c r="K10" i="1"/>
  <c r="K16" i="1"/>
  <c r="K43" i="1"/>
  <c r="K44" i="1"/>
  <c r="K40" i="1"/>
  <c r="K35" i="1"/>
  <c r="K34" i="1"/>
  <c r="K42" i="1"/>
  <c r="K60" i="1"/>
  <c r="K22" i="1"/>
  <c r="K12" i="1"/>
  <c r="K14" i="1"/>
  <c r="K15" i="1"/>
  <c r="K5" i="1"/>
  <c r="K24" i="1"/>
  <c r="J53" i="22"/>
  <c r="K47" i="1"/>
  <c r="K8" i="1"/>
  <c r="K57" i="1"/>
  <c r="K33" i="1"/>
  <c r="K58" i="1"/>
  <c r="K36" i="1"/>
  <c r="K20" i="1"/>
  <c r="K13" i="1"/>
  <c r="K17" i="1"/>
  <c r="K48" i="1"/>
  <c r="K7" i="1"/>
  <c r="K31" i="1"/>
  <c r="K38" i="1"/>
  <c r="K39" i="1"/>
  <c r="K59" i="1"/>
  <c r="K46" i="1"/>
  <c r="K56" i="1"/>
  <c r="K45" i="1"/>
  <c r="K9" i="1"/>
  <c r="K19" i="1"/>
  <c r="K6" i="1"/>
  <c r="K21" i="1"/>
  <c r="K32" i="1"/>
  <c r="K30" i="1"/>
  <c r="K41" i="1"/>
  <c r="K55" i="1"/>
  <c r="K54" i="1"/>
  <c r="K11" i="1"/>
  <c r="K4" i="1"/>
  <c r="Q37" i="1"/>
  <c r="Q18" i="1"/>
  <c r="Q44" i="1"/>
  <c r="Q24" i="1"/>
  <c r="Q23" i="1"/>
  <c r="Q45" i="1"/>
  <c r="Q6" i="1"/>
  <c r="Q46" i="1"/>
  <c r="Q31" i="1"/>
  <c r="Q58" i="1"/>
  <c r="Q36" i="1"/>
  <c r="Q19" i="1"/>
  <c r="Q47" i="1"/>
  <c r="Q34" i="1"/>
  <c r="Q48" i="1"/>
  <c r="Q22" i="1"/>
  <c r="Q56" i="1"/>
  <c r="Q35" i="1"/>
  <c r="Q33" i="1"/>
  <c r="Q43" i="1"/>
  <c r="Q12" i="1"/>
  <c r="Q7" i="1"/>
  <c r="Q20" i="1"/>
  <c r="Q21" i="1"/>
  <c r="Q38" i="1"/>
  <c r="Q5" i="1"/>
  <c r="Q9" i="1"/>
  <c r="Q17" i="1"/>
  <c r="Q13" i="1"/>
  <c r="Q10" i="1"/>
  <c r="Q14" i="1"/>
  <c r="Q60" i="1"/>
  <c r="Q40" i="1"/>
  <c r="Q57" i="1"/>
  <c r="P53" i="22"/>
  <c r="Q16" i="1"/>
  <c r="Q39" i="1"/>
  <c r="Q59" i="1"/>
  <c r="Q15" i="1"/>
  <c r="Q8" i="1"/>
  <c r="Q42" i="1"/>
  <c r="Q32" i="1"/>
  <c r="Q30" i="1"/>
  <c r="Q41" i="1"/>
  <c r="Q55" i="1"/>
  <c r="Q54" i="1"/>
  <c r="Q11" i="1"/>
  <c r="Q4" i="1"/>
  <c r="D14" i="26"/>
  <c r="D15" i="26"/>
  <c r="N52" i="1"/>
  <c r="N51" i="22"/>
  <c r="C22" i="26"/>
  <c r="B29" i="26"/>
  <c r="B30" i="26"/>
  <c r="C14" i="26"/>
  <c r="C15" i="26"/>
  <c r="L51" i="22"/>
  <c r="D22" i="26"/>
  <c r="Q33" i="22"/>
  <c r="Q35" i="22"/>
  <c r="Q37" i="22"/>
  <c r="Q39" i="22"/>
  <c r="Q41" i="22"/>
  <c r="Q34" i="22"/>
  <c r="Q38" i="22"/>
  <c r="Q36" i="22"/>
  <c r="Q40" i="22"/>
  <c r="K33" i="22"/>
  <c r="K35" i="22"/>
  <c r="K37" i="22"/>
  <c r="K39" i="22"/>
  <c r="K41" i="22"/>
  <c r="K36" i="22"/>
  <c r="K40" i="22"/>
  <c r="K34" i="22"/>
  <c r="K38" i="22"/>
  <c r="Q28" i="22"/>
  <c r="Q29" i="22"/>
  <c r="Q27" i="22"/>
  <c r="Q30" i="22"/>
  <c r="Q26" i="22"/>
  <c r="K29" i="22"/>
  <c r="K30" i="22"/>
  <c r="O27" i="1"/>
  <c r="O28" i="1"/>
  <c r="O26" i="1"/>
  <c r="O29" i="1"/>
  <c r="O25" i="1"/>
  <c r="M26" i="1"/>
  <c r="M28" i="1"/>
  <c r="M27" i="1"/>
  <c r="M29" i="1"/>
  <c r="M25" i="1"/>
  <c r="Q62" i="1"/>
  <c r="M48" i="1"/>
  <c r="M15" i="1"/>
  <c r="M56" i="1"/>
  <c r="M9" i="1"/>
  <c r="M14" i="1"/>
  <c r="M16" i="1"/>
  <c r="M7" i="1"/>
  <c r="M47" i="1"/>
  <c r="M5" i="1"/>
  <c r="M24" i="1"/>
  <c r="M60" i="1"/>
  <c r="M8" i="1"/>
  <c r="M37" i="1"/>
  <c r="M45" i="1"/>
  <c r="M23" i="1"/>
  <c r="M12" i="1"/>
  <c r="M46" i="1"/>
  <c r="M38" i="1"/>
  <c r="M17" i="1"/>
  <c r="M44" i="1"/>
  <c r="L53" i="22"/>
  <c r="M43" i="1"/>
  <c r="M39" i="1"/>
  <c r="M22" i="1"/>
  <c r="M58" i="1"/>
  <c r="M13" i="1"/>
  <c r="M21" i="1"/>
  <c r="M42" i="1"/>
  <c r="M20" i="1"/>
  <c r="M33" i="1"/>
  <c r="M18" i="1"/>
  <c r="M35" i="1"/>
  <c r="M57" i="1"/>
  <c r="M34" i="1"/>
  <c r="M36" i="1"/>
  <c r="M19" i="1"/>
  <c r="M59" i="1"/>
  <c r="M40" i="1"/>
  <c r="M31" i="1"/>
  <c r="M6" i="1"/>
  <c r="M10" i="1"/>
  <c r="M32" i="1"/>
  <c r="M30" i="1"/>
  <c r="M55" i="1"/>
  <c r="M41" i="1"/>
  <c r="M54" i="1"/>
  <c r="M11" i="1"/>
  <c r="M4" i="1"/>
  <c r="O16" i="1"/>
  <c r="O37" i="1"/>
  <c r="O47" i="1"/>
  <c r="O6" i="1"/>
  <c r="O34" i="1"/>
  <c r="O13" i="1"/>
  <c r="O48" i="1"/>
  <c r="O10" i="1"/>
  <c r="O24" i="1"/>
  <c r="O18" i="1"/>
  <c r="O14" i="1"/>
  <c r="O38" i="1"/>
  <c r="O59" i="1"/>
  <c r="O5" i="1"/>
  <c r="O36" i="1"/>
  <c r="O12" i="1"/>
  <c r="O31" i="1"/>
  <c r="O43" i="1"/>
  <c r="O57" i="1"/>
  <c r="O56" i="1"/>
  <c r="O7" i="1"/>
  <c r="O19" i="1"/>
  <c r="O17" i="1"/>
  <c r="O33" i="1"/>
  <c r="O15" i="1"/>
  <c r="O23" i="1"/>
  <c r="O21" i="1"/>
  <c r="O58" i="1"/>
  <c r="O44" i="1"/>
  <c r="O9" i="1"/>
  <c r="O22" i="1"/>
  <c r="O8" i="1"/>
  <c r="O35" i="1"/>
  <c r="O20" i="1"/>
  <c r="O40" i="1"/>
  <c r="O45" i="1"/>
  <c r="O60" i="1"/>
  <c r="O46" i="1"/>
  <c r="N53" i="22"/>
  <c r="O39" i="1"/>
  <c r="O42" i="1"/>
  <c r="O32" i="1"/>
  <c r="O30" i="1"/>
  <c r="O55" i="1"/>
  <c r="O41" i="1"/>
  <c r="O54" i="1"/>
  <c r="O11" i="1"/>
  <c r="O4" i="1"/>
  <c r="K13" i="22"/>
  <c r="K58" i="22"/>
  <c r="K7" i="22"/>
  <c r="K50" i="22"/>
  <c r="K44" i="22"/>
  <c r="K53" i="22"/>
  <c r="K48" i="22"/>
  <c r="K18" i="22"/>
  <c r="K47" i="22"/>
  <c r="K60" i="22"/>
  <c r="K9" i="22"/>
  <c r="K14" i="22"/>
  <c r="K32" i="22"/>
  <c r="K27" i="22"/>
  <c r="K16" i="22"/>
  <c r="K17" i="22"/>
  <c r="K20" i="22"/>
  <c r="K21" i="22"/>
  <c r="K57" i="22"/>
  <c r="K45" i="22"/>
  <c r="K25" i="22"/>
  <c r="K8" i="22"/>
  <c r="K6" i="22"/>
  <c r="K26" i="22"/>
  <c r="K22" i="22"/>
  <c r="K59" i="22"/>
  <c r="K49" i="22"/>
  <c r="K15" i="22"/>
  <c r="K61" i="22"/>
  <c r="K11" i="22"/>
  <c r="K43" i="22"/>
  <c r="K24" i="22"/>
  <c r="K28" i="22"/>
  <c r="K23" i="22"/>
  <c r="K10" i="22"/>
  <c r="K19" i="22"/>
  <c r="K46" i="22"/>
  <c r="K31" i="22"/>
  <c r="K42" i="22"/>
  <c r="K56" i="22"/>
  <c r="K55" i="22"/>
  <c r="K12" i="22"/>
  <c r="K5" i="22"/>
  <c r="C29" i="26"/>
  <c r="C30" i="26"/>
  <c r="Q8" i="22"/>
  <c r="Q7" i="22"/>
  <c r="Q45" i="22"/>
  <c r="Q11" i="22"/>
  <c r="Q43" i="22"/>
  <c r="Q59" i="22"/>
  <c r="Q24" i="22"/>
  <c r="Q9" i="22"/>
  <c r="Q48" i="22"/>
  <c r="Q18" i="22"/>
  <c r="Q32" i="22"/>
  <c r="Q53" i="22"/>
  <c r="Q13" i="22"/>
  <c r="Q44" i="22"/>
  <c r="Q19" i="22"/>
  <c r="Q6" i="22"/>
  <c r="Q57" i="22"/>
  <c r="Q20" i="22"/>
  <c r="Q22" i="22"/>
  <c r="Q58" i="22"/>
  <c r="Q17" i="22"/>
  <c r="Q50" i="22"/>
  <c r="Q10" i="22"/>
  <c r="Q25" i="22"/>
  <c r="Q49" i="22"/>
  <c r="Q16" i="22"/>
  <c r="Q61" i="22"/>
  <c r="Q15" i="22"/>
  <c r="Q14" i="22"/>
  <c r="Q60" i="22"/>
  <c r="Q21" i="22"/>
  <c r="Q47" i="22"/>
  <c r="Q23" i="22"/>
  <c r="Q46" i="22"/>
  <c r="Q31" i="22"/>
  <c r="Q42" i="22"/>
  <c r="Q56" i="22"/>
  <c r="Q55" i="22"/>
  <c r="Q12" i="22"/>
  <c r="Q5" i="22"/>
  <c r="K50" i="1"/>
  <c r="K49" i="1"/>
  <c r="K52" i="1"/>
  <c r="Q49" i="1"/>
  <c r="Q52" i="1"/>
  <c r="Q50" i="1"/>
  <c r="K62" i="1"/>
  <c r="K51" i="22"/>
  <c r="D29" i="26"/>
  <c r="D30" i="26"/>
  <c r="Q51" i="22"/>
  <c r="M33" i="22"/>
  <c r="M34" i="22"/>
  <c r="M35" i="22"/>
  <c r="M37" i="22"/>
  <c r="M38" i="22"/>
  <c r="M39" i="22"/>
  <c r="M41" i="22"/>
  <c r="M40" i="22"/>
  <c r="M36" i="22"/>
  <c r="O40" i="22"/>
  <c r="O33" i="22"/>
  <c r="O35" i="22"/>
  <c r="O36" i="22"/>
  <c r="O37" i="22"/>
  <c r="O39" i="22"/>
  <c r="O41" i="22"/>
  <c r="O38" i="22"/>
  <c r="O34" i="22"/>
  <c r="O27" i="22"/>
  <c r="O28" i="22"/>
  <c r="O29" i="22"/>
  <c r="O30" i="22"/>
  <c r="O26" i="22"/>
  <c r="M27" i="22"/>
  <c r="M28" i="22"/>
  <c r="M29" i="22"/>
  <c r="M30" i="22"/>
  <c r="M26" i="22"/>
  <c r="Q63" i="22"/>
  <c r="K63" i="22"/>
  <c r="O47" i="22"/>
  <c r="O22" i="22"/>
  <c r="O13" i="22"/>
  <c r="O45" i="22"/>
  <c r="O11" i="22"/>
  <c r="O19" i="22"/>
  <c r="O23" i="22"/>
  <c r="O10" i="22"/>
  <c r="O18" i="22"/>
  <c r="O57" i="22"/>
  <c r="O60" i="22"/>
  <c r="O20" i="22"/>
  <c r="O50" i="22"/>
  <c r="O6" i="22"/>
  <c r="O46" i="22"/>
  <c r="O9" i="22"/>
  <c r="O32" i="22"/>
  <c r="O53" i="22"/>
  <c r="O48" i="22"/>
  <c r="O59" i="22"/>
  <c r="O17" i="22"/>
  <c r="O58" i="22"/>
  <c r="O7" i="22"/>
  <c r="O49" i="22"/>
  <c r="O44" i="22"/>
  <c r="O61" i="22"/>
  <c r="O8" i="22"/>
  <c r="O14" i="22"/>
  <c r="O16" i="22"/>
  <c r="O25" i="22"/>
  <c r="O15" i="22"/>
  <c r="O43" i="22"/>
  <c r="O24" i="22"/>
  <c r="O21" i="22"/>
  <c r="O31" i="22"/>
  <c r="O42" i="22"/>
  <c r="O56" i="22"/>
  <c r="O55" i="22"/>
  <c r="O12" i="22"/>
  <c r="O5" i="22"/>
  <c r="O50" i="1"/>
  <c r="O49" i="1"/>
  <c r="O52" i="1"/>
  <c r="M10" i="22"/>
  <c r="M53" i="22"/>
  <c r="M24" i="22"/>
  <c r="M19" i="22"/>
  <c r="M11" i="22"/>
  <c r="M25" i="22"/>
  <c r="M60" i="22"/>
  <c r="M43" i="22"/>
  <c r="M44" i="22"/>
  <c r="M46" i="22"/>
  <c r="M45" i="22"/>
  <c r="M18" i="22"/>
  <c r="M50" i="22"/>
  <c r="M8" i="22"/>
  <c r="M58" i="22"/>
  <c r="M20" i="22"/>
  <c r="M32" i="22"/>
  <c r="M13" i="22"/>
  <c r="M57" i="22"/>
  <c r="M14" i="22"/>
  <c r="M47" i="22"/>
  <c r="M61" i="22"/>
  <c r="M17" i="22"/>
  <c r="M16" i="22"/>
  <c r="M15" i="22"/>
  <c r="M6" i="22"/>
  <c r="M21" i="22"/>
  <c r="M48" i="22"/>
  <c r="M9" i="22"/>
  <c r="M59" i="22"/>
  <c r="M7" i="22"/>
  <c r="M23" i="22"/>
  <c r="M22" i="22"/>
  <c r="M49" i="22"/>
  <c r="M31" i="22"/>
  <c r="M42" i="22"/>
  <c r="M56" i="22"/>
  <c r="M55" i="22"/>
  <c r="M12" i="22"/>
  <c r="M5" i="22"/>
  <c r="O51" i="22"/>
  <c r="O62" i="1"/>
  <c r="M62" i="1"/>
  <c r="M49" i="1"/>
  <c r="M52" i="1"/>
  <c r="M50" i="1"/>
  <c r="M51" i="22"/>
  <c r="O63" i="22"/>
  <c r="M63" i="22"/>
  <c r="J62" i="23" l="1"/>
  <c r="C282" i="45" s="1"/>
  <c r="J58" i="23"/>
  <c r="C280" i="45" s="1"/>
  <c r="J7" i="23"/>
  <c r="L54" i="23"/>
  <c r="M54" i="23" s="1"/>
  <c r="L39" i="23"/>
  <c r="L23" i="23"/>
  <c r="M23" i="23" s="1"/>
  <c r="L64" i="23"/>
  <c r="L57" i="23"/>
  <c r="L61" i="23"/>
  <c r="L7" i="23"/>
  <c r="L59" i="23"/>
  <c r="L58" i="23"/>
  <c r="L10" i="23"/>
  <c r="L14" i="23"/>
  <c r="L18" i="23"/>
  <c r="L22" i="23"/>
  <c r="L26" i="23"/>
  <c r="L30" i="23"/>
  <c r="M30" i="23" s="1"/>
  <c r="L34" i="23"/>
  <c r="L38" i="23"/>
  <c r="L42" i="23"/>
  <c r="L46" i="23"/>
  <c r="M46" i="23" s="1"/>
  <c r="L50" i="23"/>
  <c r="L56" i="23"/>
  <c r="L62" i="23"/>
  <c r="L8" i="23"/>
  <c r="M8" i="23" s="1"/>
  <c r="L12" i="23"/>
  <c r="L16" i="23"/>
  <c r="L20" i="23"/>
  <c r="L24" i="23"/>
  <c r="M24" i="23" s="1"/>
  <c r="L28" i="23"/>
  <c r="L32" i="23"/>
  <c r="L36" i="23"/>
  <c r="L40" i="23"/>
  <c r="M40" i="23" s="1"/>
  <c r="L44" i="23"/>
  <c r="L48" i="23"/>
  <c r="L52" i="23"/>
  <c r="L60" i="23"/>
  <c r="L9" i="23"/>
  <c r="L17" i="23"/>
  <c r="M17" i="23" s="1"/>
  <c r="L25" i="23"/>
  <c r="L33" i="23"/>
  <c r="M33" i="23" s="1"/>
  <c r="L41" i="23"/>
  <c r="L49" i="23"/>
  <c r="M49" i="23" s="1"/>
  <c r="L11" i="23"/>
  <c r="L19" i="23"/>
  <c r="M19" i="23" s="1"/>
  <c r="L27" i="23"/>
  <c r="L35" i="23"/>
  <c r="M35" i="23" s="1"/>
  <c r="L43" i="23"/>
  <c r="L51" i="23"/>
  <c r="M51" i="23" s="1"/>
  <c r="C246" i="45"/>
  <c r="L37" i="23"/>
  <c r="M37" i="23" s="1"/>
  <c r="L21" i="23"/>
  <c r="L47" i="23"/>
  <c r="M47" i="23" s="1"/>
  <c r="L31" i="23"/>
  <c r="L15" i="23"/>
  <c r="M15" i="23" s="1"/>
  <c r="C208" i="45"/>
  <c r="C318" i="45"/>
  <c r="L6" i="23"/>
  <c r="L45" i="23"/>
  <c r="M45" i="23" s="1"/>
  <c r="L29" i="23"/>
  <c r="L13" i="23"/>
  <c r="J61" i="23"/>
  <c r="J8" i="23"/>
  <c r="J10" i="23"/>
  <c r="J12" i="23"/>
  <c r="J14" i="23"/>
  <c r="J16" i="23"/>
  <c r="J18" i="23"/>
  <c r="J20" i="23"/>
  <c r="N2" i="23"/>
  <c r="J57" i="23"/>
  <c r="J59" i="23"/>
  <c r="J54" i="23"/>
  <c r="J9" i="23"/>
  <c r="J11" i="23"/>
  <c r="J13" i="23"/>
  <c r="J15" i="23"/>
  <c r="K15" i="23" s="1"/>
  <c r="J17" i="23"/>
  <c r="J19" i="23"/>
  <c r="J22" i="23"/>
  <c r="J24" i="23"/>
  <c r="K24" i="23" s="1"/>
  <c r="J26" i="23"/>
  <c r="J28" i="23"/>
  <c r="J30" i="23"/>
  <c r="J32" i="23"/>
  <c r="J34" i="23"/>
  <c r="J36" i="23"/>
  <c r="J38" i="23"/>
  <c r="J40" i="23"/>
  <c r="K40" i="23" s="1"/>
  <c r="J42" i="23"/>
  <c r="J44" i="23"/>
  <c r="J46" i="23"/>
  <c r="J48" i="23"/>
  <c r="K48" i="23" s="1"/>
  <c r="J50" i="23"/>
  <c r="J52" i="23"/>
  <c r="J64" i="23"/>
  <c r="P2" i="23"/>
  <c r="J60" i="23"/>
  <c r="J21" i="23"/>
  <c r="J23" i="23"/>
  <c r="J25" i="23"/>
  <c r="J27" i="23"/>
  <c r="J29" i="23"/>
  <c r="J31" i="23"/>
  <c r="J33" i="23"/>
  <c r="K33" i="23" s="1"/>
  <c r="J35" i="23"/>
  <c r="J37" i="23"/>
  <c r="J39" i="23"/>
  <c r="J41" i="23"/>
  <c r="J43" i="23"/>
  <c r="J45" i="23"/>
  <c r="J47" i="23"/>
  <c r="J49" i="23"/>
  <c r="K49" i="23" s="1"/>
  <c r="J51" i="23"/>
  <c r="J6" i="23"/>
  <c r="G54" i="41"/>
  <c r="D86" i="41" s="1"/>
  <c r="M27" i="23" l="1"/>
  <c r="M9" i="23"/>
  <c r="M28" i="23"/>
  <c r="M34" i="23"/>
  <c r="M18" i="23"/>
  <c r="L66" i="23"/>
  <c r="L65" i="1" s="1"/>
  <c r="M29" i="23"/>
  <c r="M21" i="23"/>
  <c r="M11" i="23"/>
  <c r="M36" i="23"/>
  <c r="M10" i="23"/>
  <c r="M48" i="23"/>
  <c r="M16" i="23"/>
  <c r="M38" i="23"/>
  <c r="M22" i="23"/>
  <c r="M39" i="23"/>
  <c r="L66" i="22"/>
  <c r="K41" i="23"/>
  <c r="C313" i="45"/>
  <c r="K25" i="23"/>
  <c r="C314" i="45"/>
  <c r="K32" i="23"/>
  <c r="K54" i="23"/>
  <c r="K56" i="23"/>
  <c r="K62" i="23"/>
  <c r="C247" i="45"/>
  <c r="K12" i="23"/>
  <c r="K58" i="23"/>
  <c r="B79" i="26"/>
  <c r="D281" i="45"/>
  <c r="M283" i="45" s="1"/>
  <c r="M57" i="23"/>
  <c r="K47" i="23"/>
  <c r="K31" i="23"/>
  <c r="J66" i="23"/>
  <c r="K38" i="23"/>
  <c r="K22" i="23"/>
  <c r="K18" i="23"/>
  <c r="M41" i="23"/>
  <c r="B42" i="26"/>
  <c r="D211" i="45"/>
  <c r="D316" i="45"/>
  <c r="M44" i="23"/>
  <c r="M12" i="23"/>
  <c r="M50" i="23"/>
  <c r="B44" i="26"/>
  <c r="D285" i="45"/>
  <c r="M279" i="45" s="1"/>
  <c r="B81" i="26"/>
  <c r="M59" i="23"/>
  <c r="K45" i="23"/>
  <c r="K29" i="23"/>
  <c r="K21" i="23"/>
  <c r="C209" i="45"/>
  <c r="C317" i="45"/>
  <c r="K52" i="23"/>
  <c r="C211" i="45"/>
  <c r="C316" i="45"/>
  <c r="K44" i="23"/>
  <c r="K36" i="23"/>
  <c r="K28" i="23"/>
  <c r="K19" i="23"/>
  <c r="K11" i="23"/>
  <c r="C281" i="45"/>
  <c r="K57" i="23"/>
  <c r="K16" i="23"/>
  <c r="K8" i="23"/>
  <c r="B82" i="26"/>
  <c r="D284" i="45"/>
  <c r="M280" i="45" s="1"/>
  <c r="M60" i="23"/>
  <c r="D311" i="45"/>
  <c r="M14" i="23"/>
  <c r="B38" i="26"/>
  <c r="M7" i="23"/>
  <c r="P57" i="23"/>
  <c r="P61" i="23"/>
  <c r="P59" i="23"/>
  <c r="P54" i="23"/>
  <c r="Q54" i="23" s="1"/>
  <c r="P8" i="23"/>
  <c r="P9" i="23"/>
  <c r="P10" i="23"/>
  <c r="P11" i="23"/>
  <c r="Q11" i="23" s="1"/>
  <c r="P12" i="23"/>
  <c r="P13" i="23"/>
  <c r="P14" i="23"/>
  <c r="P15" i="23"/>
  <c r="Q15" i="23" s="1"/>
  <c r="P16" i="23"/>
  <c r="P17" i="23"/>
  <c r="P18" i="23"/>
  <c r="P19" i="23"/>
  <c r="Q19" i="23" s="1"/>
  <c r="P20" i="23"/>
  <c r="P21" i="23"/>
  <c r="P22" i="23"/>
  <c r="P23" i="23"/>
  <c r="Q23" i="23" s="1"/>
  <c r="P24" i="23"/>
  <c r="P25" i="23"/>
  <c r="P26" i="23"/>
  <c r="P27" i="23"/>
  <c r="Q27" i="23" s="1"/>
  <c r="P28" i="23"/>
  <c r="P29" i="23"/>
  <c r="P30" i="23"/>
  <c r="P31" i="23"/>
  <c r="P32" i="23"/>
  <c r="P33" i="23"/>
  <c r="P34" i="23"/>
  <c r="P35" i="23"/>
  <c r="Q35" i="23" s="1"/>
  <c r="P36" i="23"/>
  <c r="P37" i="23"/>
  <c r="P38" i="23"/>
  <c r="P39" i="23"/>
  <c r="Q39" i="23" s="1"/>
  <c r="P40" i="23"/>
  <c r="P41" i="23"/>
  <c r="P42" i="23"/>
  <c r="P43" i="23"/>
  <c r="P44" i="23"/>
  <c r="P45" i="23"/>
  <c r="P46" i="23"/>
  <c r="P47" i="23"/>
  <c r="Q47" i="23" s="1"/>
  <c r="P48" i="23"/>
  <c r="P49" i="23"/>
  <c r="P50" i="23"/>
  <c r="P51" i="23"/>
  <c r="Q51" i="23" s="1"/>
  <c r="P52" i="23"/>
  <c r="P60" i="23"/>
  <c r="P7" i="23"/>
  <c r="P56" i="23"/>
  <c r="P64" i="23"/>
  <c r="P58" i="23"/>
  <c r="P6" i="23"/>
  <c r="P62" i="23"/>
  <c r="C312" i="45"/>
  <c r="K20" i="23"/>
  <c r="M13" i="23"/>
  <c r="M31" i="23"/>
  <c r="B41" i="26"/>
  <c r="D314" i="45"/>
  <c r="M32" i="23"/>
  <c r="D208" i="45"/>
  <c r="D318" i="45"/>
  <c r="M56" i="23"/>
  <c r="D280" i="45"/>
  <c r="B80" i="26"/>
  <c r="M58" i="23"/>
  <c r="K39" i="23"/>
  <c r="K23" i="23"/>
  <c r="K46" i="23"/>
  <c r="K30" i="23"/>
  <c r="K13" i="23"/>
  <c r="C248" i="45"/>
  <c r="K59" i="23"/>
  <c r="C285" i="45"/>
  <c r="K10" i="23"/>
  <c r="K7" i="23"/>
  <c r="C212" i="45"/>
  <c r="C310" i="45"/>
  <c r="K6" i="23"/>
  <c r="K37" i="23"/>
  <c r="K51" i="23"/>
  <c r="C210" i="45"/>
  <c r="C315" i="45"/>
  <c r="K43" i="23"/>
  <c r="K35" i="23"/>
  <c r="K27" i="23"/>
  <c r="C284" i="45"/>
  <c r="K60" i="23"/>
  <c r="K50" i="23"/>
  <c r="K42" i="23"/>
  <c r="K34" i="23"/>
  <c r="K26" i="23"/>
  <c r="K17" i="23"/>
  <c r="K9" i="23"/>
  <c r="N60" i="23"/>
  <c r="N8" i="23"/>
  <c r="N9" i="23"/>
  <c r="N10" i="23"/>
  <c r="N11" i="23"/>
  <c r="N12" i="23"/>
  <c r="N13" i="23"/>
  <c r="N14" i="23"/>
  <c r="N15" i="23"/>
  <c r="N16" i="23"/>
  <c r="N17" i="23"/>
  <c r="N18" i="23"/>
  <c r="N19" i="23"/>
  <c r="N20" i="23"/>
  <c r="N21" i="23"/>
  <c r="N22" i="23"/>
  <c r="N23" i="23"/>
  <c r="N24" i="23"/>
  <c r="N25" i="23"/>
  <c r="N26" i="23"/>
  <c r="N27" i="23"/>
  <c r="N28" i="23"/>
  <c r="N29" i="23"/>
  <c r="N30" i="23"/>
  <c r="N31" i="23"/>
  <c r="N32" i="23"/>
  <c r="N33" i="23"/>
  <c r="N34" i="23"/>
  <c r="N35" i="23"/>
  <c r="N36" i="23"/>
  <c r="N37" i="23"/>
  <c r="N38" i="23"/>
  <c r="N39" i="23"/>
  <c r="N40" i="23"/>
  <c r="N41" i="23"/>
  <c r="N42" i="23"/>
  <c r="N43" i="23"/>
  <c r="N44" i="23"/>
  <c r="N45" i="23"/>
  <c r="N46" i="23"/>
  <c r="N47" i="23"/>
  <c r="N48" i="23"/>
  <c r="N49" i="23"/>
  <c r="N50" i="23"/>
  <c r="N51" i="23"/>
  <c r="N52" i="23"/>
  <c r="N58" i="23"/>
  <c r="N62" i="23"/>
  <c r="N7" i="23"/>
  <c r="N54" i="23"/>
  <c r="O54" i="23" s="1"/>
  <c r="N57" i="23"/>
  <c r="N61" i="23"/>
  <c r="N56" i="23"/>
  <c r="N6" i="23"/>
  <c r="N64" i="23"/>
  <c r="N59" i="23"/>
  <c r="C311" i="45"/>
  <c r="K14" i="23"/>
  <c r="C283" i="45"/>
  <c r="K61" i="23"/>
  <c r="D212" i="45"/>
  <c r="D310" i="45"/>
  <c r="M6" i="23"/>
  <c r="B37" i="26"/>
  <c r="D210" i="45"/>
  <c r="D315" i="45"/>
  <c r="M43" i="23"/>
  <c r="D313" i="45"/>
  <c r="M25" i="23"/>
  <c r="D209" i="45"/>
  <c r="D317" i="45"/>
  <c r="M52" i="23"/>
  <c r="D312" i="45"/>
  <c r="M20" i="23"/>
  <c r="B39" i="26"/>
  <c r="B84" i="26"/>
  <c r="M62" i="23"/>
  <c r="D282" i="45"/>
  <c r="M282" i="45" s="1"/>
  <c r="M42" i="23"/>
  <c r="B43" i="26"/>
  <c r="M26" i="23"/>
  <c r="B40" i="26"/>
  <c r="B83" i="26"/>
  <c r="D283" i="45"/>
  <c r="M281" i="45" s="1"/>
  <c r="M61" i="23"/>
  <c r="E86" i="41"/>
  <c r="F5" i="41" s="1"/>
  <c r="E5" i="41"/>
  <c r="F86" i="41"/>
  <c r="G5" i="41" s="1"/>
  <c r="O51" i="23" l="1"/>
  <c r="O47" i="23"/>
  <c r="O39" i="23"/>
  <c r="O35" i="23"/>
  <c r="O27" i="23"/>
  <c r="O23" i="23"/>
  <c r="O19" i="23"/>
  <c r="O15" i="23"/>
  <c r="O46" i="23"/>
  <c r="O38" i="23"/>
  <c r="O34" i="23"/>
  <c r="O30" i="23"/>
  <c r="O22" i="23"/>
  <c r="O18" i="23"/>
  <c r="O10" i="23"/>
  <c r="D214" i="45"/>
  <c r="O11" i="23"/>
  <c r="C250" i="45"/>
  <c r="B92" i="26"/>
  <c r="O7" i="23"/>
  <c r="O31" i="23"/>
  <c r="D41" i="26"/>
  <c r="F84" i="26"/>
  <c r="F282" i="45"/>
  <c r="Q62" i="23"/>
  <c r="F210" i="45"/>
  <c r="F315" i="45"/>
  <c r="Q43" i="23"/>
  <c r="E283" i="45"/>
  <c r="O61" i="23"/>
  <c r="D83" i="26"/>
  <c r="D43" i="26"/>
  <c r="O42" i="23"/>
  <c r="M212" i="45"/>
  <c r="N207" i="45" s="1"/>
  <c r="Q7" i="23"/>
  <c r="Q46" i="23"/>
  <c r="Q38" i="23"/>
  <c r="Q34" i="23"/>
  <c r="Q30" i="23"/>
  <c r="Q22" i="23"/>
  <c r="Q18" i="23"/>
  <c r="F311" i="45"/>
  <c r="Q14" i="23"/>
  <c r="F38" i="26"/>
  <c r="Q10" i="23"/>
  <c r="F285" i="45"/>
  <c r="F81" i="26"/>
  <c r="Q59" i="23"/>
  <c r="C214" i="45"/>
  <c r="K64" i="23"/>
  <c r="J65" i="1"/>
  <c r="J66" i="22"/>
  <c r="M64" i="23"/>
  <c r="D319" i="45"/>
  <c r="N66" i="23"/>
  <c r="E281" i="45"/>
  <c r="D79" i="26"/>
  <c r="O57" i="23"/>
  <c r="D80" i="26"/>
  <c r="O58" i="23"/>
  <c r="E280" i="45"/>
  <c r="O49" i="23"/>
  <c r="O45" i="23"/>
  <c r="D42" i="26"/>
  <c r="O41" i="23"/>
  <c r="O37" i="23"/>
  <c r="O33" i="23"/>
  <c r="O29" i="23"/>
  <c r="E313" i="45"/>
  <c r="O25" i="23"/>
  <c r="O21" i="23"/>
  <c r="O17" i="23"/>
  <c r="O13" i="23"/>
  <c r="O9" i="23"/>
  <c r="D286" i="45"/>
  <c r="M284" i="45"/>
  <c r="F80" i="26"/>
  <c r="Q58" i="23"/>
  <c r="F280" i="45"/>
  <c r="F82" i="26"/>
  <c r="F284" i="45"/>
  <c r="Q60" i="23"/>
  <c r="Q49" i="23"/>
  <c r="Q45" i="23"/>
  <c r="F42" i="26"/>
  <c r="Q41" i="23"/>
  <c r="Q37" i="23"/>
  <c r="Q33" i="23"/>
  <c r="Q29" i="23"/>
  <c r="F313" i="45"/>
  <c r="Q25" i="23"/>
  <c r="Q21" i="23"/>
  <c r="Q17" i="23"/>
  <c r="Q13" i="23"/>
  <c r="Q9" i="23"/>
  <c r="F83" i="26"/>
  <c r="F283" i="45"/>
  <c r="Q61" i="23"/>
  <c r="B93" i="26"/>
  <c r="C286" i="45"/>
  <c r="B45" i="26"/>
  <c r="C40" i="26" s="1"/>
  <c r="B94" i="26"/>
  <c r="E208" i="45"/>
  <c r="E318" i="45"/>
  <c r="O56" i="23"/>
  <c r="E210" i="45"/>
  <c r="E315" i="45"/>
  <c r="O43" i="23"/>
  <c r="D82" i="26"/>
  <c r="E284" i="45"/>
  <c r="O60" i="23"/>
  <c r="C319" i="45"/>
  <c r="F208" i="45"/>
  <c r="F318" i="45"/>
  <c r="Q56" i="23"/>
  <c r="Q31" i="23"/>
  <c r="F41" i="26"/>
  <c r="B96" i="26"/>
  <c r="E285" i="45"/>
  <c r="O59" i="23"/>
  <c r="D81" i="26"/>
  <c r="D84" i="26"/>
  <c r="E282" i="45"/>
  <c r="O62" i="23"/>
  <c r="O50" i="23"/>
  <c r="D44" i="26"/>
  <c r="O26" i="23"/>
  <c r="D40" i="26"/>
  <c r="E311" i="45"/>
  <c r="D38" i="26"/>
  <c r="O14" i="23"/>
  <c r="F212" i="45"/>
  <c r="F310" i="45"/>
  <c r="F37" i="26"/>
  <c r="Q6" i="23"/>
  <c r="Q50" i="23"/>
  <c r="F44" i="26"/>
  <c r="Q42" i="23"/>
  <c r="F43" i="26"/>
  <c r="Q26" i="23"/>
  <c r="F40" i="26"/>
  <c r="B95" i="26"/>
  <c r="E212" i="45"/>
  <c r="E310" i="45"/>
  <c r="O6" i="23"/>
  <c r="D37" i="26"/>
  <c r="E209" i="45"/>
  <c r="E317" i="45"/>
  <c r="O52" i="23"/>
  <c r="O48" i="23"/>
  <c r="E211" i="45"/>
  <c r="E316" i="45"/>
  <c r="O44" i="23"/>
  <c r="O40" i="23"/>
  <c r="O36" i="23"/>
  <c r="E314" i="45"/>
  <c r="O32" i="23"/>
  <c r="O28" i="23"/>
  <c r="O24" i="23"/>
  <c r="E312" i="45"/>
  <c r="D39" i="26"/>
  <c r="O20" i="23"/>
  <c r="O16" i="23"/>
  <c r="O12" i="23"/>
  <c r="O8" i="23"/>
  <c r="P66" i="23"/>
  <c r="F209" i="45"/>
  <c r="F317" i="45"/>
  <c r="Q52" i="23"/>
  <c r="Q48" i="23"/>
  <c r="F211" i="45"/>
  <c r="F316" i="45"/>
  <c r="Q44" i="23"/>
  <c r="Q40" i="23"/>
  <c r="Q36" i="23"/>
  <c r="F314" i="45"/>
  <c r="Q32" i="23"/>
  <c r="Q28" i="23"/>
  <c r="Q24" i="23"/>
  <c r="F312" i="45"/>
  <c r="Q20" i="23"/>
  <c r="F39" i="26"/>
  <c r="Q16" i="23"/>
  <c r="Q12" i="23"/>
  <c r="Q8" i="23"/>
  <c r="F281" i="45"/>
  <c r="F79" i="26"/>
  <c r="Q57" i="23"/>
  <c r="Q64" i="23" s="1"/>
  <c r="M248" i="45"/>
  <c r="N240" i="45" s="1"/>
  <c r="B85" i="26"/>
  <c r="B97" i="26" s="1"/>
  <c r="C43" i="26" l="1"/>
  <c r="C44" i="26"/>
  <c r="E214" i="45"/>
  <c r="C39" i="26"/>
  <c r="C37" i="26"/>
  <c r="C41" i="26"/>
  <c r="C42" i="26"/>
  <c r="F92" i="26"/>
  <c r="P66" i="22"/>
  <c r="P65" i="1"/>
  <c r="D92" i="26"/>
  <c r="D94" i="26"/>
  <c r="D45" i="26"/>
  <c r="E39" i="26" s="1"/>
  <c r="C84" i="26"/>
  <c r="C82" i="26"/>
  <c r="O64" i="23"/>
  <c r="E41" i="26"/>
  <c r="C79" i="26"/>
  <c r="N247" i="45"/>
  <c r="F85" i="26"/>
  <c r="F97" i="26" s="1"/>
  <c r="N238" i="45"/>
  <c r="N244" i="45"/>
  <c r="D93" i="26"/>
  <c r="N239" i="45"/>
  <c r="N211" i="45"/>
  <c r="F286" i="45"/>
  <c r="E286" i="45"/>
  <c r="D85" i="26"/>
  <c r="D97" i="26" s="1"/>
  <c r="N245" i="45"/>
  <c r="D95" i="26"/>
  <c r="N242" i="45"/>
  <c r="B98" i="26"/>
  <c r="C96" i="26" s="1"/>
  <c r="E319" i="45"/>
  <c r="F94" i="26"/>
  <c r="F45" i="26"/>
  <c r="G40" i="26" s="1"/>
  <c r="C80" i="26"/>
  <c r="D96" i="26"/>
  <c r="E44" i="26"/>
  <c r="G41" i="26"/>
  <c r="F214" i="45"/>
  <c r="E42" i="26"/>
  <c r="C83" i="26"/>
  <c r="C81" i="26"/>
  <c r="N246" i="45"/>
  <c r="N241" i="45"/>
  <c r="N243" i="45"/>
  <c r="F95" i="26"/>
  <c r="F96" i="26"/>
  <c r="F319" i="45"/>
  <c r="N210" i="45"/>
  <c r="M285" i="45"/>
  <c r="N284" i="45" s="1"/>
  <c r="C38" i="26"/>
  <c r="G80" i="26"/>
  <c r="N65" i="1"/>
  <c r="N66" i="22"/>
  <c r="N208" i="45"/>
  <c r="F93" i="26"/>
  <c r="N209" i="45"/>
  <c r="C94" i="26" l="1"/>
  <c r="G42" i="26"/>
  <c r="E84" i="26"/>
  <c r="G44" i="26"/>
  <c r="E43" i="26"/>
  <c r="G83" i="26"/>
  <c r="G84" i="26"/>
  <c r="G43" i="26"/>
  <c r="G38" i="26"/>
  <c r="E80" i="26"/>
  <c r="E82" i="26"/>
  <c r="G37" i="26"/>
  <c r="E38" i="26"/>
  <c r="N212" i="45"/>
  <c r="E83" i="26"/>
  <c r="C95" i="26"/>
  <c r="C97" i="26"/>
  <c r="E81" i="26"/>
  <c r="C92" i="26"/>
  <c r="E79" i="26"/>
  <c r="E40" i="26"/>
  <c r="G39" i="26"/>
  <c r="D98" i="26"/>
  <c r="E93" i="26" s="1"/>
  <c r="G81" i="26"/>
  <c r="N282" i="45"/>
  <c r="N279" i="45"/>
  <c r="N280" i="45"/>
  <c r="N283" i="45"/>
  <c r="N281" i="45"/>
  <c r="C93" i="26"/>
  <c r="E37" i="26"/>
  <c r="N248" i="45"/>
  <c r="G79" i="26"/>
  <c r="G82" i="26"/>
  <c r="F98" i="26"/>
  <c r="G94" i="26" s="1"/>
  <c r="E95" i="26" l="1"/>
  <c r="E96" i="26"/>
  <c r="E97" i="26"/>
  <c r="E92" i="26"/>
  <c r="G96" i="26"/>
  <c r="G93" i="26"/>
  <c r="E94" i="26"/>
  <c r="G92" i="26"/>
  <c r="G95" i="26"/>
  <c r="N285" i="45"/>
  <c r="G97" i="26"/>
</calcChain>
</file>

<file path=xl/sharedStrings.xml><?xml version="1.0" encoding="utf-8"?>
<sst xmlns="http://schemas.openxmlformats.org/spreadsheetml/2006/main" count="2951" uniqueCount="1032">
  <si>
    <t>Capex</t>
  </si>
  <si>
    <t>Permitting and Environmental Compliance</t>
  </si>
  <si>
    <t>1.1.1</t>
  </si>
  <si>
    <t>Siting &amp; Scoping</t>
  </si>
  <si>
    <t>1.1.2</t>
  </si>
  <si>
    <t>Pre-Installation Studies</t>
  </si>
  <si>
    <t>1.1.3</t>
  </si>
  <si>
    <t>Post-Installation Studies</t>
  </si>
  <si>
    <t>NEPA &amp; Process</t>
  </si>
  <si>
    <t>1.2.1</t>
  </si>
  <si>
    <t>Infrastructure</t>
  </si>
  <si>
    <t>1.2.2</t>
  </si>
  <si>
    <t>Subsea Cables</t>
  </si>
  <si>
    <t>1.2.3</t>
  </si>
  <si>
    <t>Dockside Improvements</t>
  </si>
  <si>
    <t>1.2.4</t>
  </si>
  <si>
    <t>1.2.5</t>
  </si>
  <si>
    <t>Other</t>
  </si>
  <si>
    <t>Mooring/Foundation</t>
  </si>
  <si>
    <t>1.3.1</t>
  </si>
  <si>
    <t>Mooring lines/chain</t>
  </si>
  <si>
    <t>1.3.2</t>
  </si>
  <si>
    <t>Anchors</t>
  </si>
  <si>
    <t>1.3.3</t>
  </si>
  <si>
    <t>1.3.4</t>
  </si>
  <si>
    <t>Connecting Hardware (shackles etc.)</t>
  </si>
  <si>
    <t>Device Structural Components</t>
  </si>
  <si>
    <t>1.4.1</t>
  </si>
  <si>
    <t>1.4.2</t>
  </si>
  <si>
    <t>1.4.3</t>
  </si>
  <si>
    <t>1.4.4</t>
  </si>
  <si>
    <t>Power Take Off</t>
  </si>
  <si>
    <t>1.5.1</t>
  </si>
  <si>
    <t>Generator</t>
  </si>
  <si>
    <t>1.5.2</t>
  </si>
  <si>
    <t>1.5.3</t>
  </si>
  <si>
    <t>1.5.4</t>
  </si>
  <si>
    <t>Hydraulic System</t>
  </si>
  <si>
    <t>Frequency Converter</t>
  </si>
  <si>
    <t>1.5.5</t>
  </si>
  <si>
    <t>Step-up Transformer</t>
  </si>
  <si>
    <t>1.5.6</t>
  </si>
  <si>
    <t>Riser Cable</t>
  </si>
  <si>
    <t>1.5.7</t>
  </si>
  <si>
    <t>Electrical Energy Storage</t>
  </si>
  <si>
    <t>1.5.8</t>
  </si>
  <si>
    <t>Installation</t>
  </si>
  <si>
    <t>Transport to Staging Site</t>
  </si>
  <si>
    <t>Cable Shore Landing</t>
  </si>
  <si>
    <t>Device Installation</t>
  </si>
  <si>
    <t>Device Comissioning</t>
  </si>
  <si>
    <t>Insurance</t>
  </si>
  <si>
    <t>Environmental Monitoring and Regulatory Compliance</t>
  </si>
  <si>
    <t>Marine Operations</t>
  </si>
  <si>
    <t>Shoreside Operations</t>
  </si>
  <si>
    <t>Replacement Parts</t>
  </si>
  <si>
    <t>Consumables</t>
  </si>
  <si>
    <t>Annualized OPEX</t>
  </si>
  <si>
    <t>Dedicated O&amp;M Vessel</t>
  </si>
  <si>
    <t>Seals</t>
  </si>
  <si>
    <t>1.5.9</t>
  </si>
  <si>
    <t xml:space="preserve">Control System </t>
  </si>
  <si>
    <t>Device Access (Railings, Ladders, etc)</t>
  </si>
  <si>
    <t>Bearings and Linear Guides</t>
  </si>
  <si>
    <t>Assembly, Testing &amp; QA</t>
  </si>
  <si>
    <t>Units</t>
  </si>
  <si>
    <t>1.5.10</t>
  </si>
  <si>
    <t>1.5.11</t>
  </si>
  <si>
    <t>1.5.12</t>
  </si>
  <si>
    <t>1.5.13</t>
  </si>
  <si>
    <t>Mooring/Foundation System</t>
  </si>
  <si>
    <t>Subsystem Integration &amp; Profit Margin</t>
  </si>
  <si>
    <t>1.7.1</t>
  </si>
  <si>
    <t>1.7.2</t>
  </si>
  <si>
    <t>1.7.3</t>
  </si>
  <si>
    <t>1.7.4</t>
  </si>
  <si>
    <t>1.7.5</t>
  </si>
  <si>
    <t>1.7.6</t>
  </si>
  <si>
    <t>Cost</t>
  </si>
  <si>
    <t>Total Cost</t>
  </si>
  <si>
    <t>Total</t>
  </si>
  <si>
    <t>Assumptions</t>
  </si>
  <si>
    <t>Component</t>
  </si>
  <si>
    <t>Sum</t>
  </si>
  <si>
    <t>1-Unit</t>
  </si>
  <si>
    <t>Subsystem Integration and Profit margins are difficult to estimate given the level of design of the reference model.  For consistency and to make it simple, this was assumed to be 10% of the machine cost.  This is probably low for single unit production scale</t>
  </si>
  <si>
    <t xml:space="preserve">However, because the primary focus of the RM effort is in identifying cost reduction pathways it was decided to apply this assumption, rather then an assumption as a function of deployment scale.  </t>
  </si>
  <si>
    <t>10 Units</t>
  </si>
  <si>
    <t>50 Units</t>
  </si>
  <si>
    <t>100 Units</t>
  </si>
  <si>
    <t>Transport Cost to Staging Site</t>
  </si>
  <si>
    <t>1 - Unit</t>
  </si>
  <si>
    <t>10 - Units</t>
  </si>
  <si>
    <t>100 - Units</t>
  </si>
  <si>
    <t>50 - Units</t>
  </si>
  <si>
    <t>Note: Typical in offshore one-off projects</t>
  </si>
  <si>
    <t>Note: Typical in Onshore Wind, assuming high technical maturity</t>
  </si>
  <si>
    <t>1 Unit</t>
  </si>
  <si>
    <t>Totals</t>
  </si>
  <si>
    <t>Development</t>
  </si>
  <si>
    <t>1.1.1.1</t>
  </si>
  <si>
    <t>1.1.1.2</t>
  </si>
  <si>
    <t>1.1.1.3</t>
  </si>
  <si>
    <t>1.1.1.4</t>
  </si>
  <si>
    <t>Site Assessment</t>
  </si>
  <si>
    <t>Design &amp; Engineering</t>
  </si>
  <si>
    <t>10-Units</t>
  </si>
  <si>
    <t>100-Units</t>
  </si>
  <si>
    <t>50-Units</t>
  </si>
  <si>
    <t>Cost Summary</t>
  </si>
  <si>
    <t>Weight (tonnes)</t>
  </si>
  <si>
    <t>Profit</t>
  </si>
  <si>
    <t>Mass</t>
  </si>
  <si>
    <t>Category</t>
  </si>
  <si>
    <t>Prog Ratio</t>
  </si>
  <si>
    <t>Cost per unit</t>
  </si>
  <si>
    <t>Siting and Scoping</t>
  </si>
  <si>
    <t>Environmental Scoping</t>
  </si>
  <si>
    <t>Community Outreach</t>
  </si>
  <si>
    <t>Regulatory Outreach</t>
  </si>
  <si>
    <t>Fish and Invertebrates</t>
  </si>
  <si>
    <t>Habitat</t>
  </si>
  <si>
    <t>Cultural Resources</t>
  </si>
  <si>
    <t>Navigation</t>
  </si>
  <si>
    <t>Recreation</t>
  </si>
  <si>
    <t>Post-Install Capital</t>
  </si>
  <si>
    <t>NEPA Document Preparation</t>
  </si>
  <si>
    <t>Monitoring and Study Plans</t>
  </si>
  <si>
    <t>NEPA and Process</t>
  </si>
  <si>
    <t xml:space="preserve">Material </t>
  </si>
  <si>
    <t>Labor</t>
  </si>
  <si>
    <t>Material</t>
  </si>
  <si>
    <t>m</t>
  </si>
  <si>
    <t>1.2.3 Dockside Improvements</t>
  </si>
  <si>
    <t>1.2.4 Dedicated O&amp;M Vessel</t>
  </si>
  <si>
    <t>1.3.1 Mooring Lines / Chain</t>
  </si>
  <si>
    <t>1.3.2 Anchors</t>
  </si>
  <si>
    <t>% of Structural</t>
  </si>
  <si>
    <t>PTO mounting</t>
  </si>
  <si>
    <t>kW</t>
  </si>
  <si>
    <t>Mass (kg)</t>
  </si>
  <si>
    <t># Units</t>
  </si>
  <si>
    <t>Contingency</t>
  </si>
  <si>
    <t>Design and Engineering</t>
  </si>
  <si>
    <t>Decommissioning</t>
  </si>
  <si>
    <t>in%</t>
  </si>
  <si>
    <t>in %</t>
  </si>
  <si>
    <t>% of total assumpton</t>
  </si>
  <si>
    <t>Cost Estimating Notes</t>
  </si>
  <si>
    <t>Terminations and Connectors</t>
  </si>
  <si>
    <t>1.2.2 Terminations and Connectors</t>
  </si>
  <si>
    <t>Structural Cost Total from 1-3</t>
  </si>
  <si>
    <t>tonnes</t>
  </si>
  <si>
    <t>Non-Reccuring</t>
  </si>
  <si>
    <t>Non-Recurring</t>
  </si>
  <si>
    <t>Non-recurring</t>
  </si>
  <si>
    <t>1.6 Subsystem Integration and Profit Margin</t>
  </si>
  <si>
    <t>10% of Machine Cost</t>
  </si>
  <si>
    <t>Transmission Efficiency</t>
  </si>
  <si>
    <t>Annual Output</t>
  </si>
  <si>
    <t>Project Design, Engineering, and Management</t>
  </si>
  <si>
    <t>1.8 Decomissioning</t>
  </si>
  <si>
    <t>1.9 Contingency</t>
  </si>
  <si>
    <t>occurs at the end of the 20-year project life, having a minimal impact on the cost of electricty from this plant.  Decomissioning costs are not represented in the CoE assessment.</t>
  </si>
  <si>
    <t>MACRS Depreciation</t>
  </si>
  <si>
    <t>Energy Extraction</t>
  </si>
  <si>
    <t>Average Extracted Power</t>
  </si>
  <si>
    <t>Average Electric Power</t>
  </si>
  <si>
    <t>Rated Electric Power</t>
  </si>
  <si>
    <t xml:space="preserve">Machine Capacity Factor </t>
  </si>
  <si>
    <t>Array Parameters</t>
  </si>
  <si>
    <t># of US homes equivalent</t>
  </si>
  <si>
    <t>Array/Turbine Availability</t>
  </si>
  <si>
    <t>MWh/year</t>
  </si>
  <si>
    <t>Year 1</t>
  </si>
  <si>
    <t>Year 2</t>
  </si>
  <si>
    <t>Year 3</t>
  </si>
  <si>
    <t>Year 4</t>
  </si>
  <si>
    <t>Year 5</t>
  </si>
  <si>
    <t>Year 6</t>
  </si>
  <si>
    <t>Fixed Charge Rate</t>
  </si>
  <si>
    <t>Total Annual OPEX</t>
  </si>
  <si>
    <t>Plant Rated Capacity (kW)</t>
  </si>
  <si>
    <t>MWh/Year</t>
  </si>
  <si>
    <t xml:space="preserve">10% is used because that is what offshore wind has been using.    </t>
  </si>
  <si>
    <t>$/tonne</t>
  </si>
  <si>
    <t>Unknown</t>
  </si>
  <si>
    <t>10-100 Units</t>
  </si>
  <si>
    <t>Note: Inputs shown in green</t>
  </si>
  <si>
    <t>Cost Basis in $'s</t>
  </si>
  <si>
    <t>Capex and Opex Table Rounding</t>
  </si>
  <si>
    <t># of digits to zero</t>
  </si>
  <si>
    <t>$ / kW</t>
  </si>
  <si>
    <t>cents/kWh</t>
  </si>
  <si>
    <t>%</t>
  </si>
  <si>
    <t>$ / kW-yr</t>
  </si>
  <si>
    <t>Environmental Monitoring &amp; Regulatory Compliance</t>
  </si>
  <si>
    <t>Total Cost / yr</t>
  </si>
  <si>
    <t>Device</t>
  </si>
  <si>
    <t>Operation and Maintenance</t>
  </si>
  <si>
    <t>Opex</t>
  </si>
  <si>
    <t>Capex &amp; Opex</t>
  </si>
  <si>
    <t># of Units</t>
  </si>
  <si>
    <t>Installed Capacity (kW)</t>
  </si>
  <si>
    <t>Installed Capacity (MW)</t>
  </si>
  <si>
    <t>Mean Velocity</t>
  </si>
  <si>
    <t>Peak Velocity</t>
  </si>
  <si>
    <t>Avg Power Flux</t>
  </si>
  <si>
    <t>LCoE</t>
  </si>
  <si>
    <t>Sensitvity Graphs</t>
  </si>
  <si>
    <t>Value</t>
  </si>
  <si>
    <t>RESULTS</t>
  </si>
  <si>
    <t>Data Sources</t>
  </si>
  <si>
    <t>PNNL - Detailed in Separate Document</t>
  </si>
  <si>
    <t>RE Vision Estimate from similar experience</t>
  </si>
  <si>
    <t>Cost Estimating Notes:</t>
  </si>
  <si>
    <t>RE Vision Assumption</t>
  </si>
  <si>
    <t>Decomissioning costs are assumed to be the same as the installation costs, because similar operational procedures will be used to remove the plant hardware as for the installation process.  The key difference is that decomissioning</t>
  </si>
  <si>
    <t xml:space="preserve">Contingency captures unknown unknowns.  Given the conceptual level of design, it is likely that quite a few items are not well understood and hence costs are under-predicted.   </t>
  </si>
  <si>
    <t xml:space="preserve">Insurance cost is a direct function of the perceived risk of a project.  Offshore Oil &amp; Gas project are typically on the order of 2% of CAPEX.  These are one-off construction projects with a relatively high risk profile (oil-spill potential etc.). </t>
  </si>
  <si>
    <t xml:space="preserve"> On the other end of the spectrum is land-based wind that is technologically mature with typical insurance rates on the order of 0.5%.  The assumption is that for 1 and 10-unit deployment scales technology is relatively immature</t>
  </si>
  <si>
    <t xml:space="preserve">It is also assumed that no investor will take the risk of building a 100-unit farm unless technology risks are perceived as being really small. </t>
  </si>
  <si>
    <t>RE Vision Estimate based on related project experience</t>
  </si>
  <si>
    <t>50-100 Units</t>
  </si>
  <si>
    <t>Cost Estimating Notes for Commercial Scale (100-Units)</t>
  </si>
  <si>
    <t>Cost Estimating Notes - Single Unit Scale</t>
  </si>
  <si>
    <t>Annualized Cost Breakdown</t>
  </si>
  <si>
    <t>Single Unit in Mass Production</t>
  </si>
  <si>
    <t>Survey</t>
  </si>
  <si>
    <t>In reality, a figure closer to 30% is probably more realistic at single unit scale.</t>
  </si>
  <si>
    <t>base case</t>
  </si>
  <si>
    <t>Cable Installation</t>
  </si>
  <si>
    <t>Mooring Installation</t>
  </si>
  <si>
    <t>Cable Landing</t>
  </si>
  <si>
    <t>Seabed Survey &amp; Mapping</t>
  </si>
  <si>
    <t>Marine Mammals</t>
  </si>
  <si>
    <t>Seabirds</t>
  </si>
  <si>
    <t>Turtles</t>
  </si>
  <si>
    <t>Water Quality</t>
  </si>
  <si>
    <t>Marine Mammals and Turtles</t>
  </si>
  <si>
    <t>Fish</t>
  </si>
  <si>
    <t>Benthos</t>
  </si>
  <si>
    <t>Acoustic Characterization Monitoring</t>
  </si>
  <si>
    <t xml:space="preserve">Resource Assessment </t>
  </si>
  <si>
    <t>Detailed Resource Assessment - Hydrodynamic modeling</t>
  </si>
  <si>
    <t>Ecosystem Effects Seabird</t>
  </si>
  <si>
    <t>Ecosystem Effects Marine Mammals &amp; Turtles</t>
  </si>
  <si>
    <t>Ecosystem Effects Fish</t>
  </si>
  <si>
    <t>1.2.1 Subsea Cables</t>
  </si>
  <si>
    <t>Surface Float</t>
  </si>
  <si>
    <t>Vertical Column</t>
  </si>
  <si>
    <t>Reaction Plate</t>
  </si>
  <si>
    <t>Power Conversion System Parameters</t>
  </si>
  <si>
    <t>PTO Efficiency</t>
  </si>
  <si>
    <t>Rated Power</t>
  </si>
  <si>
    <t>Determining Trunk-cable length, shore to first junction box</t>
  </si>
  <si>
    <t>Site Distance to shore</t>
  </si>
  <si>
    <t>Capacity</t>
  </si>
  <si>
    <t>Unit Capacity (kW)</t>
  </si>
  <si>
    <t>#</t>
  </si>
  <si>
    <t>Plant Capacity (MW)</t>
  </si>
  <si>
    <t>Target Cable Capacity incl. 20% contingency (MW)</t>
  </si>
  <si>
    <t>Contingency Cable Length incl. 20% Contingency (m)</t>
  </si>
  <si>
    <t>Array Cable</t>
  </si>
  <si>
    <t xml:space="preserve">Per Device Cable Length </t>
  </si>
  <si>
    <t>Total Cable Length</t>
  </si>
  <si>
    <t>Subsea Cable Cost</t>
  </si>
  <si>
    <t>Trunck Cable</t>
  </si>
  <si>
    <t>Inter-Device Cable Length</t>
  </si>
  <si>
    <t>Trunk Cable Cost ($/m)</t>
  </si>
  <si>
    <t>Inter-Device Cable</t>
  </si>
  <si>
    <t>10% of Subsea Cable Cost</t>
  </si>
  <si>
    <t>None</t>
  </si>
  <si>
    <t>Rough Estimates were used for subsea cable cost</t>
  </si>
  <si>
    <t>Wire Rope to Sub-Sea Buoys</t>
  </si>
  <si>
    <t>Sub-Sea Buoys (55kN net buoyancy)</t>
  </si>
  <si>
    <t>Nylon Line 5.75"</t>
  </si>
  <si>
    <t>Chain 3.5 inch, 90 foot shot</t>
  </si>
  <si>
    <t>Anchor Joining Link</t>
  </si>
  <si>
    <t>Chain joining link</t>
  </si>
  <si>
    <t>Sinker (10-tonnes)</t>
  </si>
  <si>
    <t>Shackles</t>
  </si>
  <si>
    <t>Anchor - Bruce Mk-4, 9-tonne</t>
  </si>
  <si>
    <t>Based on Preliminary Mooring Design</t>
  </si>
  <si>
    <t>RE Vision</t>
  </si>
  <si>
    <t>Single Unit Cost Breakdown for 100-kW baseline</t>
  </si>
  <si>
    <t>Hydraulic Cylinder</t>
  </si>
  <si>
    <t>Relieve Valves</t>
  </si>
  <si>
    <t>Pressure Sensor</t>
  </si>
  <si>
    <t>Valve Subplate</t>
  </si>
  <si>
    <t>Accumulator</t>
  </si>
  <si>
    <t>HP Filter</t>
  </si>
  <si>
    <t>Return Filter</t>
  </si>
  <si>
    <t>Fixed Displacement Motor</t>
  </si>
  <si>
    <t>Reservoir</t>
  </si>
  <si>
    <t>Plumbing</t>
  </si>
  <si>
    <t>Fluid</t>
  </si>
  <si>
    <t>Misc</t>
  </si>
  <si>
    <t>Machine/Pipe Foundations</t>
  </si>
  <si>
    <t>Solenoid Valves</t>
  </si>
  <si>
    <t>Pressure Sensors</t>
  </si>
  <si>
    <t>Assembly &amp; Testing</t>
  </si>
  <si>
    <t>Check Valves</t>
  </si>
  <si>
    <t>100 Unit Cost Breakdown for 100kW baseline</t>
  </si>
  <si>
    <t>Hydraulic Energy Storage</t>
  </si>
  <si>
    <t>Hydraulic Components (all)</t>
  </si>
  <si>
    <t>Cost - 100kW</t>
  </si>
  <si>
    <t>Linear Guide</t>
  </si>
  <si>
    <t>Cost - 286kW</t>
  </si>
  <si>
    <t>Subsea Cable</t>
  </si>
  <si>
    <t>Mooring Components</t>
  </si>
  <si>
    <t>Notes:</t>
  </si>
  <si>
    <t xml:space="preserve"> - Cost from previous projects in the Pacific Northwest</t>
  </si>
  <si>
    <t xml:space="preserve"> - Drilling Distance: 500m</t>
  </si>
  <si>
    <t xml:space="preserve"> - 1 Unit would require an 8" conduit</t>
  </si>
  <si>
    <t xml:space="preserve"> - 10 Units would require 10" Conduit</t>
  </si>
  <si>
    <t xml:space="preserve"> - Jettable Material &lt; 7,500 psi </t>
  </si>
  <si>
    <t>Total HDD Activities</t>
  </si>
  <si>
    <t xml:space="preserve"> - 100 Units would require 2 x 10" conduit</t>
  </si>
  <si>
    <r>
      <t xml:space="preserve"> - </t>
    </r>
    <r>
      <rPr>
        <sz val="11"/>
        <rFont val="Calibri"/>
        <family val="2"/>
        <scheme val="minor"/>
      </rPr>
      <t>Deck space = 5100 ft^2 =&gt; 2-3 moorings can be loaded</t>
    </r>
  </si>
  <si>
    <t xml:space="preserve"> - 50 Units would require 1 x 10" conduit</t>
  </si>
  <si>
    <t xml:space="preserve">  - Mooring Installation Vessel M/V Mystique or similar</t>
  </si>
  <si>
    <t xml:space="preserve"> - Fuel at $3.5/gallon</t>
  </si>
  <si>
    <t>Mob/Demob of Vessel</t>
  </si>
  <si>
    <t xml:space="preserve">Dockside Support </t>
  </si>
  <si>
    <t>At Dock Loading</t>
  </si>
  <si>
    <t>Transit to Site and back</t>
  </si>
  <si>
    <t>On-Site Working</t>
  </si>
  <si>
    <t>Day-rate</t>
  </si>
  <si>
    <t># Days</t>
  </si>
  <si>
    <t xml:space="preserve"> - Cable Installation Vessel</t>
  </si>
  <si>
    <t xml:space="preserve"> - Support Vessel</t>
  </si>
  <si>
    <t xml:space="preserve"> -Cable Installation and Burial Tools</t>
  </si>
  <si>
    <t>Dayrates:</t>
  </si>
  <si>
    <t>At Dock Mob/Demob</t>
  </si>
  <si>
    <t>Loading Cable</t>
  </si>
  <si>
    <t>Transit</t>
  </si>
  <si>
    <t>Standby</t>
  </si>
  <si>
    <t>Cable Lay Ops</t>
  </si>
  <si>
    <t>Installation Process</t>
  </si>
  <si>
    <t>Mob/Demob CIV</t>
  </si>
  <si>
    <t>Load Cable</t>
  </si>
  <si>
    <t>Transit to Site</t>
  </si>
  <si>
    <t>Install Cable &amp; Surface Lay</t>
  </si>
  <si>
    <t>Cable Burial and S/E</t>
  </si>
  <si>
    <t>Transit to/from Home Port</t>
  </si>
  <si>
    <t>1 0-Unit</t>
  </si>
  <si>
    <t>50 Unit</t>
  </si>
  <si>
    <t>100 Unit</t>
  </si>
  <si>
    <t>Transit (5000 miles)</t>
  </si>
  <si>
    <t xml:space="preserve"> - Installation continously until complete</t>
  </si>
  <si>
    <t xml:space="preserve"> - 2 tugs (800-1500 HP)</t>
  </si>
  <si>
    <t xml:space="preserve"> - Crew Boat</t>
  </si>
  <si>
    <t xml:space="preserve"> - Shoreside support</t>
  </si>
  <si>
    <t xml:space="preserve"> - Workboat (the same as used for O&amp;M)</t>
  </si>
  <si>
    <t>Process</t>
  </si>
  <si>
    <t xml:space="preserve">Mob/Demob </t>
  </si>
  <si>
    <t>1 device per day</t>
  </si>
  <si>
    <t>10  Unit</t>
  </si>
  <si>
    <t xml:space="preserve">Notes: </t>
  </si>
  <si>
    <t xml:space="preserve"> - Same setup as Device Installation</t>
  </si>
  <si>
    <t>Percentage Rate</t>
  </si>
  <si>
    <t>Buoyancy</t>
  </si>
  <si>
    <t>1.1 Development</t>
  </si>
  <si>
    <t>1.2 Infrastructure</t>
  </si>
  <si>
    <t>1.3 Mooring/Foundation</t>
  </si>
  <si>
    <t>1.4 Device Structural Components</t>
  </si>
  <si>
    <t>1.5 Power Take Off</t>
  </si>
  <si>
    <t>1.7 Installation</t>
  </si>
  <si>
    <t>2.1 Insurance</t>
  </si>
  <si>
    <t>2.2 Environmental Monitoring and Regulatory Compliance</t>
  </si>
  <si>
    <t>2.3 Marine Operations</t>
  </si>
  <si>
    <t>2.4 Shoreside Operations</t>
  </si>
  <si>
    <t>2.5 Replacement Parts</t>
  </si>
  <si>
    <t>2.6 Consumables</t>
  </si>
  <si>
    <t>Vessel</t>
  </si>
  <si>
    <t>Per Diem</t>
  </si>
  <si>
    <t>Salary ($/year)</t>
  </si>
  <si>
    <t>Burden</t>
  </si>
  <si>
    <t># of Staff</t>
  </si>
  <si>
    <t>Staffing Costs ($/Year)</t>
  </si>
  <si>
    <t>Average</t>
  </si>
  <si>
    <t>Wage ($/hr)</t>
  </si>
  <si>
    <t>(%)</t>
  </si>
  <si>
    <t>years 1-5</t>
  </si>
  <si>
    <t>6-10</t>
  </si>
  <si>
    <t>11-15</t>
  </si>
  <si>
    <t>16-20</t>
  </si>
  <si>
    <t>Site Manager Salary</t>
  </si>
  <si>
    <t>Admin. Asst. Salary</t>
  </si>
  <si>
    <t>Sr. Tech Wage</t>
  </si>
  <si>
    <t>Jr. Tech Wage</t>
  </si>
  <si>
    <t>Additional Cost</t>
  </si>
  <si>
    <t>Dockside Rental</t>
  </si>
  <si>
    <t xml:space="preserve">Facilities Lease </t>
  </si>
  <si>
    <t xml:space="preserve"> - Ship Conversion including: (1) DP-1, Crane, Whinch, Delivery etc. </t>
  </si>
  <si>
    <t xml:space="preserve"> - Using new vessel, values come in between $4.09M and $5.65M</t>
  </si>
  <si>
    <t xml:space="preserve"> - Using used vessel, values are estimated between $2.09M and $3.1M</t>
  </si>
  <si>
    <t>$/day</t>
  </si>
  <si>
    <t>Boat (incl. 4 person crew)</t>
  </si>
  <si>
    <t>Additional Crew</t>
  </si>
  <si>
    <t>Crew Boat</t>
  </si>
  <si>
    <t>Fuel and Consumables</t>
  </si>
  <si>
    <t>Vessel of Opportunity - 12-hour dayrates for Devicve Retrieval, Mooring Repair and Cable Repair</t>
  </si>
  <si>
    <t>Vessel of Opportunity - 12-hour dayrates for Device Access and PTO Swap-out</t>
  </si>
  <si>
    <t>Permanent Crew Dayrate</t>
  </si>
  <si>
    <t>Number of Crew</t>
  </si>
  <si>
    <t>Average Hourly Rate</t>
  </si>
  <si>
    <t>Hours/Day</t>
  </si>
  <si>
    <t>Total Crew-day cost</t>
  </si>
  <si>
    <t>Inspect Mooring System using ROV</t>
  </si>
  <si>
    <t>Unscheduled Structural/Mooring/Riser Cable</t>
  </si>
  <si>
    <t>Device Recovery for shore-side overhaul</t>
  </si>
  <si>
    <t># of ops-days/year</t>
  </si>
  <si>
    <t>$/year</t>
  </si>
  <si>
    <t>$/kW-year</t>
  </si>
  <si>
    <t># of Ops days/year</t>
  </si>
  <si>
    <t># of Interventions per device-year Requiring Device Recovery</t>
  </si>
  <si>
    <t># of Interventions per device-year requiring PTO retrieval</t>
  </si>
  <si>
    <t>Unscheduled PTO repairs</t>
  </si>
  <si>
    <t>Total Marine Ops Cost</t>
  </si>
  <si>
    <t># Failures / Year</t>
  </si>
  <si>
    <t>Relief Valve</t>
  </si>
  <si>
    <t xml:space="preserve">Overhead </t>
  </si>
  <si>
    <t>Electrical Systems</t>
  </si>
  <si>
    <t>External Systems</t>
  </si>
  <si>
    <t>Moorings</t>
  </si>
  <si>
    <t>$/Unit</t>
  </si>
  <si>
    <t>L50</t>
  </si>
  <si>
    <t>$/Year</t>
  </si>
  <si>
    <t># Failures/Year</t>
  </si>
  <si>
    <t>Failure Rates for 100kW Reference Powertrain</t>
  </si>
  <si>
    <t xml:space="preserve"> - No design available for linear guides, estimated cost at 20% of PTO cost</t>
  </si>
  <si>
    <t>Linear Guides</t>
  </si>
  <si>
    <t>No redundancy</t>
  </si>
  <si>
    <t>Scaled Powertrain at Device Rated Capacity</t>
  </si>
  <si>
    <t>Scaled Powertrain at Device Rated Capacity in Mass Production (100-Unit Scale)</t>
  </si>
  <si>
    <t>Cost Progress Ratio</t>
  </si>
  <si>
    <t>Cost at Different Unit Scales</t>
  </si>
  <si>
    <t>Staffing Levels / Cost</t>
  </si>
  <si>
    <t>Consumables include</t>
  </si>
  <si>
    <t>$/year-device</t>
  </si>
  <si>
    <t>Inter-Device Cable Cost (included in 1.5)</t>
  </si>
  <si>
    <t>Control System</t>
  </si>
  <si>
    <t>Installed Cost</t>
  </si>
  <si>
    <t>RE Vision Estimate</t>
  </si>
  <si>
    <t>Actual cost breakdowns are provided in separate report by PNNL (average values carried forward to this spreadsheet)</t>
  </si>
  <si>
    <t xml:space="preserve"> - Bathimtric and Geophysical Survey</t>
  </si>
  <si>
    <t xml:space="preserve"> - Small site survey with dimensions of 3.5km x 1km one trunck cable corridor</t>
  </si>
  <si>
    <t xml:space="preserve"> - Large site survey with dimensions of 16.5km x 1km with trunck cable survey</t>
  </si>
  <si>
    <t xml:space="preserve"> - Includes: bathimetry, sub-bottom profiling, Magnetometer, Grab Samples, Underwater Video</t>
  </si>
  <si>
    <t>Design &amp; Engineering is taken as a percentage of total hard cost of the device</t>
  </si>
  <si>
    <t>Terminations and Connectors are difficult to estimate without a detailed design effort. Estimated them as 10% of Cable cost</t>
  </si>
  <si>
    <t>See notes above</t>
  </si>
  <si>
    <t>1.3.4 Connecting Hardware</t>
  </si>
  <si>
    <t>1.3.3 Buoyancy</t>
  </si>
  <si>
    <t>Total Installed Cost (omits Decommissioning)</t>
  </si>
  <si>
    <t>Structural Design Details can be found in the main report, all costs are shown on a per unit basis, total costs are calculated in the summary</t>
  </si>
  <si>
    <t xml:space="preserve">Concept design did not allow to refine all design details.  Used 2% of structural cost to account for ssmaller items such as device access, connecting elements etc. </t>
  </si>
  <si>
    <t>Mass - 100kW</t>
  </si>
  <si>
    <t>Mass - 286kW</t>
  </si>
  <si>
    <t xml:space="preserve">RE Vision Estimate </t>
  </si>
  <si>
    <t>RE Vision 100 KW Wave Power Hydraulic System Study</t>
  </si>
  <si>
    <t>Data Sources - Single Unit Scale</t>
  </si>
  <si>
    <t>- Costs have been estimated from a 100kW system design and scaled using the rated capacity of the RM3 device</t>
  </si>
  <si>
    <t>Data Sources - Commercial Scale (100-Units)</t>
  </si>
  <si>
    <t>Machine Cost</t>
  </si>
  <si>
    <t>RE Vision cost assessment</t>
  </si>
  <si>
    <t>See notes above in cost details</t>
  </si>
  <si>
    <t>RE Vision Esitmate</t>
  </si>
  <si>
    <t>RE Vision Estimae</t>
  </si>
  <si>
    <t xml:space="preserve">Cost of shore-side ops is estimated based on Windpact O&amp;M cost model provided by NREL (O&amp;M Cost Estimator_revA_22Jun2006.xls). Below are the assumptions on labor and consumables. It is assumed that the labor associated with repair are similar to wind. </t>
  </si>
  <si>
    <t>WindPACT study from NREL operation and matinence model</t>
  </si>
  <si>
    <t>Not estimated, but included in project contingency</t>
  </si>
  <si>
    <t xml:space="preserve">Mooring L50 life considers that a mooring repair results only in partial replacement </t>
  </si>
  <si>
    <t>From 1 to 10</t>
  </si>
  <si>
    <t xml:space="preserve">From 10 to 50 </t>
  </si>
  <si>
    <t>From 50 to 100</t>
  </si>
  <si>
    <t>Learning Rate: LR = 1 - PR</t>
  </si>
  <si>
    <t>a = cost to produce 1st unit</t>
  </si>
  <si>
    <t>PROGRESS RATIO (PR)</t>
  </si>
  <si>
    <t>COST REDUCTION TRENDS</t>
  </si>
  <si>
    <t>PROGRESS RATIO</t>
  </si>
  <si>
    <t>x = cumulative production up to &amp; including xth unit</t>
  </si>
  <si>
    <t>m = learning parameter (measure of rate of cost reductions as cumulative production increases)</t>
  </si>
  <si>
    <r>
      <rPr>
        <sz val="11"/>
        <color theme="1"/>
        <rFont val="Calibri"/>
        <family val="2"/>
        <scheme val="minor"/>
      </rPr>
      <t>C</t>
    </r>
    <r>
      <rPr>
        <vertAlign val="subscript"/>
        <sz val="11"/>
        <color theme="1"/>
        <rFont val="Calibri"/>
        <family val="2"/>
        <scheme val="minor"/>
      </rPr>
      <t>x</t>
    </r>
    <r>
      <rPr>
        <sz val="11"/>
        <color theme="1"/>
        <rFont val="Calibri"/>
        <family val="2"/>
        <scheme val="minor"/>
      </rPr>
      <t xml:space="preserve"> = cost to produce xth unit</t>
    </r>
  </si>
  <si>
    <r>
      <t>PR = 2</t>
    </r>
    <r>
      <rPr>
        <b/>
        <vertAlign val="superscript"/>
        <sz val="11"/>
        <color theme="1"/>
        <rFont val="Calibri"/>
        <family val="2"/>
        <scheme val="minor"/>
      </rPr>
      <t>m</t>
    </r>
  </si>
  <si>
    <r>
      <t>PR = C</t>
    </r>
    <r>
      <rPr>
        <b/>
        <vertAlign val="subscript"/>
        <sz val="11"/>
        <color theme="1"/>
        <rFont val="Calibri"/>
        <family val="2"/>
        <scheme val="minor"/>
      </rPr>
      <t>x2</t>
    </r>
    <r>
      <rPr>
        <b/>
        <sz val="11"/>
        <color theme="1"/>
        <rFont val="Calibri"/>
        <family val="2"/>
        <scheme val="minor"/>
      </rPr>
      <t>/C</t>
    </r>
    <r>
      <rPr>
        <b/>
        <vertAlign val="subscript"/>
        <sz val="11"/>
        <color theme="1"/>
        <rFont val="Calibri"/>
        <family val="2"/>
        <scheme val="minor"/>
      </rPr>
      <t>x1</t>
    </r>
    <r>
      <rPr>
        <b/>
        <sz val="11"/>
        <color theme="1"/>
        <rFont val="Calibri"/>
        <family val="2"/>
        <scheme val="minor"/>
      </rPr>
      <t>, for x</t>
    </r>
    <r>
      <rPr>
        <b/>
        <vertAlign val="subscript"/>
        <sz val="11"/>
        <color theme="1"/>
        <rFont val="Calibri"/>
        <family val="2"/>
        <scheme val="minor"/>
      </rPr>
      <t>2</t>
    </r>
    <r>
      <rPr>
        <b/>
        <sz val="11"/>
        <color theme="1"/>
        <rFont val="Calibri"/>
        <family val="2"/>
        <scheme val="minor"/>
      </rPr>
      <t xml:space="preserve"> = 2</t>
    </r>
    <r>
      <rPr>
        <b/>
        <vertAlign val="subscript"/>
        <sz val="11"/>
        <color theme="1"/>
        <rFont val="Calibri"/>
        <family val="2"/>
        <scheme val="minor"/>
      </rPr>
      <t>x1</t>
    </r>
  </si>
  <si>
    <r>
      <t>PR = C</t>
    </r>
    <r>
      <rPr>
        <b/>
        <vertAlign val="subscript"/>
        <sz val="11"/>
        <color theme="1"/>
        <rFont val="Calibri"/>
        <family val="2"/>
        <scheme val="minor"/>
      </rPr>
      <t>x2</t>
    </r>
    <r>
      <rPr>
        <b/>
        <sz val="11"/>
        <color theme="1"/>
        <rFont val="Calibri"/>
        <family val="2"/>
        <scheme val="minor"/>
      </rPr>
      <t>/C</t>
    </r>
    <r>
      <rPr>
        <b/>
        <vertAlign val="subscript"/>
        <sz val="11"/>
        <color theme="1"/>
        <rFont val="Calibri"/>
        <family val="2"/>
        <scheme val="minor"/>
      </rPr>
      <t>x1</t>
    </r>
    <r>
      <rPr>
        <b/>
        <sz val="11"/>
        <color theme="1"/>
        <rFont val="Calibri"/>
        <family val="2"/>
        <scheme val="minor"/>
      </rPr>
      <t xml:space="preserve"> </t>
    </r>
  </si>
  <si>
    <r>
      <t>for x</t>
    </r>
    <r>
      <rPr>
        <b/>
        <vertAlign val="subscript"/>
        <sz val="11"/>
        <color theme="1"/>
        <rFont val="Calibri"/>
        <family val="2"/>
        <scheme val="minor"/>
      </rPr>
      <t>2</t>
    </r>
    <r>
      <rPr>
        <b/>
        <sz val="11"/>
        <color theme="1"/>
        <rFont val="Calibri"/>
        <family val="2"/>
        <scheme val="minor"/>
      </rPr>
      <t xml:space="preserve"> = 2</t>
    </r>
    <r>
      <rPr>
        <b/>
        <vertAlign val="subscript"/>
        <sz val="11"/>
        <color theme="1"/>
        <rFont val="Calibri"/>
        <family val="2"/>
        <scheme val="minor"/>
      </rPr>
      <t>x1</t>
    </r>
  </si>
  <si>
    <r>
      <t>PR = ax</t>
    </r>
    <r>
      <rPr>
        <b/>
        <vertAlign val="subscript"/>
        <sz val="11"/>
        <color theme="1"/>
        <rFont val="Calibri"/>
        <family val="2"/>
        <scheme val="minor"/>
      </rPr>
      <t>2</t>
    </r>
    <r>
      <rPr>
        <b/>
        <vertAlign val="superscript"/>
        <sz val="11"/>
        <color theme="1"/>
        <rFont val="Calibri"/>
        <family val="2"/>
        <scheme val="minor"/>
      </rPr>
      <t>m</t>
    </r>
    <r>
      <rPr>
        <b/>
        <sz val="11"/>
        <color theme="1"/>
        <rFont val="Calibri"/>
        <family val="2"/>
        <scheme val="minor"/>
      </rPr>
      <t>/ax</t>
    </r>
    <r>
      <rPr>
        <b/>
        <vertAlign val="subscript"/>
        <sz val="11"/>
        <color theme="1"/>
        <rFont val="Calibri"/>
        <family val="2"/>
        <scheme val="minor"/>
      </rPr>
      <t>1</t>
    </r>
    <r>
      <rPr>
        <b/>
        <vertAlign val="superscript"/>
        <sz val="11"/>
        <color theme="1"/>
        <rFont val="Calibri"/>
        <family val="2"/>
        <scheme val="minor"/>
      </rPr>
      <t>m</t>
    </r>
    <r>
      <rPr>
        <b/>
        <sz val="11"/>
        <color theme="1"/>
        <rFont val="Calibri"/>
        <family val="2"/>
        <scheme val="minor"/>
      </rPr>
      <t xml:space="preserve"> </t>
    </r>
  </si>
  <si>
    <t>m = (log(Cx) -log(a))/log(x)</t>
  </si>
  <si>
    <t>Learning Rate</t>
  </si>
  <si>
    <t>LR = 1-PR</t>
  </si>
  <si>
    <t>Power Conversion Chain</t>
  </si>
  <si>
    <t>L [m]</t>
  </si>
  <si>
    <t>$/m [1]</t>
  </si>
  <si>
    <t>$/m [10]</t>
  </si>
  <si>
    <t>$/m [50]</t>
  </si>
  <si>
    <t>$/m [100]</t>
  </si>
  <si>
    <t>Nylon</t>
  </si>
  <si>
    <t>Chain</t>
  </si>
  <si>
    <t>-</t>
  </si>
  <si>
    <t>** Based on Email from Eric Sherman (4/11/2012) this is nearly double. Eric's rule of thumb was $/kg with weight being d^2*.02 for studless</t>
  </si>
  <si>
    <t>** Assumes $4.5/kg estimate for qty 1 with 10% reduction on 10-100 qty ($4.05/kg)</t>
  </si>
  <si>
    <t>kg/m</t>
  </si>
  <si>
    <t>58mm mass</t>
  </si>
  <si>
    <t>Total L</t>
  </si>
  <si>
    <t>58mm Chain ($~4/kg)</t>
  </si>
  <si>
    <t xml:space="preserve">Total </t>
  </si>
  <si>
    <t>Material [$/tonne]</t>
  </si>
  <si>
    <t>Profit (10% of Material,Labor,Non-Recurring)</t>
  </si>
  <si>
    <t>ReVision $/tonne estimates (Float, Column, Reaction Plate)</t>
  </si>
  <si>
    <t>1.3.1 (Poly)</t>
  </si>
  <si>
    <t>RE Vision mass estimate with scaling factor</t>
  </si>
  <si>
    <t>1.3.1 (Chain)</t>
  </si>
  <si>
    <t>USD</t>
  </si>
  <si>
    <t>Acoustic Baseline Modeling</t>
  </si>
  <si>
    <t>Acoustic Effects on Human Uses</t>
  </si>
  <si>
    <t>Sum (per year)</t>
  </si>
  <si>
    <t>Per year for 2-3 years then lower cost per year later on</t>
  </si>
  <si>
    <t>Per year for 3-5 years then lower cost per year later on. Costs may increase periodically (typically every 5 years)</t>
  </si>
  <si>
    <t>Total (Assuming 30 years)</t>
  </si>
  <si>
    <t>Appendix A:Commercial Post-Installation Studes (PNNL RM6 Report)</t>
  </si>
  <si>
    <t>10-100 Unit 30yr pricing notes</t>
  </si>
  <si>
    <t>Estimate from Survey Company from RM3</t>
  </si>
  <si>
    <t>Estimate using RE Vision values</t>
  </si>
  <si>
    <t>Rotor hub thrust plate</t>
  </si>
  <si>
    <t>Short rotor shaft body</t>
  </si>
  <si>
    <t xml:space="preserve">Short rotor shaft shoulder </t>
  </si>
  <si>
    <t>Long rotor shaft body</t>
  </si>
  <si>
    <t>Long Rotor shaft shoulder</t>
  </si>
  <si>
    <t>Nose at ends (elliptical) --one motor end one rotor end</t>
  </si>
  <si>
    <t xml:space="preserve">Basic Steel Fabrication Estimates for Turbine Assembly--Mike Beam ARL : August 28 2013 </t>
  </si>
  <si>
    <t xml:space="preserve">Part Name </t>
  </si>
  <si>
    <t xml:space="preserve">OD </t>
  </si>
  <si>
    <t xml:space="preserve">ID </t>
  </si>
  <si>
    <t>area</t>
  </si>
  <si>
    <t xml:space="preserve">J </t>
  </si>
  <si>
    <t xml:space="preserve">Length/thickness </t>
  </si>
  <si>
    <t xml:space="preserve">CADD Volume </t>
  </si>
  <si>
    <t>density</t>
  </si>
  <si>
    <t>Weighter per part</t>
  </si>
  <si>
    <t xml:space="preserve">Quantity of item </t>
  </si>
  <si>
    <t>Total Weight</t>
  </si>
  <si>
    <t>Comment</t>
  </si>
  <si>
    <t>Cost per pound</t>
  </si>
  <si>
    <t xml:space="preserve">Total cost </t>
  </si>
  <si>
    <t xml:space="preserve">Added Estimating Notes </t>
  </si>
  <si>
    <t xml:space="preserve">inches </t>
  </si>
  <si>
    <t>inches</t>
  </si>
  <si>
    <t>in^2</t>
  </si>
  <si>
    <t>inches^4</t>
  </si>
  <si>
    <t>in**3</t>
  </si>
  <si>
    <t>#/inch**3</t>
  </si>
  <si>
    <t xml:space="preserve"># </t>
  </si>
  <si>
    <t>from Ref model 4 &amp; 7</t>
  </si>
  <si>
    <t>Turbine Outer pipe rib</t>
  </si>
  <si>
    <t>Engineering Experience From Past Project Estimates</t>
  </si>
  <si>
    <t xml:space="preserve">Turbine Pipe </t>
  </si>
  <si>
    <t xml:space="preserve">stator hub wall left &amp; right stator hub </t>
  </si>
  <si>
    <t xml:space="preserve">Price per pound from LSV PC4 pricing exercise early 2013 </t>
  </si>
  <si>
    <t xml:space="preserve">stator hub ring left &amp; right stator hub </t>
  </si>
  <si>
    <t xml:space="preserve">stator hub bearing support </t>
  </si>
  <si>
    <t xml:space="preserve">Rotor hub outer wall </t>
  </si>
  <si>
    <t xml:space="preserve">Rotor Hub rib </t>
  </si>
  <si>
    <t xml:space="preserve">Blade blank area </t>
  </si>
  <si>
    <t>Bearing &amp; shaft housing main body &amp; seal housing</t>
  </si>
  <si>
    <t xml:space="preserve">two beaing assemblies </t>
  </si>
  <si>
    <t xml:space="preserve">Bearing &amp; seal house flange (large OD end) </t>
  </si>
  <si>
    <t xml:space="preserve">Motor/generator housing--cylinderical body </t>
  </si>
  <si>
    <t xml:space="preserve">Motor/generator Housing rotor end wall </t>
  </si>
  <si>
    <t xml:space="preserve">Linear bearing rails (tubes)  for moving the assembly </t>
  </si>
  <si>
    <t xml:space="preserve">Assume steel tubing </t>
  </si>
  <si>
    <t xml:space="preserve">Bell mouth at ocean side inlet/exit </t>
  </si>
  <si>
    <t>Finished weight from GES CADD model</t>
  </si>
  <si>
    <t>Total Weight this sheet</t>
  </si>
  <si>
    <t>Total this sheet</t>
  </si>
  <si>
    <t>Weight [kg]</t>
  </si>
  <si>
    <t>Total Cost [$ USD]</t>
  </si>
  <si>
    <t>Total Weight [kg]</t>
  </si>
  <si>
    <t>Qty</t>
  </si>
  <si>
    <t>cost per kg [$/kg]</t>
  </si>
  <si>
    <t>Part Type</t>
  </si>
  <si>
    <t>Fabricated Circular Parts</t>
  </si>
  <si>
    <t>Fabricated Circular Part</t>
  </si>
  <si>
    <t>kg</t>
  </si>
  <si>
    <t>USD/kg</t>
  </si>
  <si>
    <t>1.5.1.1</t>
  </si>
  <si>
    <t>1.5.1.2</t>
  </si>
  <si>
    <t>1.5.1.3</t>
  </si>
  <si>
    <t>1.5.1.4</t>
  </si>
  <si>
    <t>1.5.1.5</t>
  </si>
  <si>
    <t>1.5.1.6</t>
  </si>
  <si>
    <t>1.5.1.7</t>
  </si>
  <si>
    <t>1.5.1.8</t>
  </si>
  <si>
    <t>1.5.1.9</t>
  </si>
  <si>
    <t>1.5.1.10</t>
  </si>
  <si>
    <t>1.5.1.11</t>
  </si>
  <si>
    <t>1.5.1.12</t>
  </si>
  <si>
    <t>1.5.1.13</t>
  </si>
  <si>
    <t>1.5.1.14</t>
  </si>
  <si>
    <t>1.5.1.15</t>
  </si>
  <si>
    <t>1.5.1.16</t>
  </si>
  <si>
    <t>1.5.1.17</t>
  </si>
  <si>
    <t>1.5.1.18</t>
  </si>
  <si>
    <t>1.5.1.19</t>
  </si>
  <si>
    <t>1.5.1.20</t>
  </si>
  <si>
    <t>Fabricated from Rectangular Shapes</t>
  </si>
  <si>
    <t xml:space="preserve">Rectangular items </t>
  </si>
  <si>
    <t>Part Name</t>
  </si>
  <si>
    <t xml:space="preserve">Width/Chord </t>
  </si>
  <si>
    <t xml:space="preserve">Height/THK </t>
  </si>
  <si>
    <t>Length/span</t>
  </si>
  <si>
    <t>Volume</t>
  </si>
  <si>
    <t xml:space="preserve">Density </t>
  </si>
  <si>
    <t>Weight per item</t>
  </si>
  <si>
    <t># of item</t>
  </si>
  <si>
    <t xml:space="preserve">Total W# all items </t>
  </si>
  <si>
    <t>Comments</t>
  </si>
  <si>
    <t xml:space="preserve">Cost per pound </t>
  </si>
  <si>
    <t xml:space="preserve">Total Cost of items </t>
  </si>
  <si>
    <t>Additional Estimating Notes</t>
  </si>
  <si>
    <t xml:space="preserve">Stator blades </t>
  </si>
  <si>
    <t xml:space="preserve">Steel --both stators </t>
  </si>
  <si>
    <t xml:space="preserve">Used rotor blade per pound machining estimate derived from NU CON verbal rotor blade machining estimate </t>
  </si>
  <si>
    <t>generator support struts</t>
  </si>
  <si>
    <t>Steel -4 each end of motor</t>
  </si>
  <si>
    <t xml:space="preserve">generator/motor plate weldments (bolt generator feet to) </t>
  </si>
  <si>
    <t xml:space="preserve">Steel </t>
  </si>
  <si>
    <t xml:space="preserve">assembly slide linear bearing housings </t>
  </si>
  <si>
    <t>3 welded assembly feet between duct OD and linear brg hsgs</t>
  </si>
  <si>
    <t xml:space="preserve">Steel --GES CADD model </t>
  </si>
  <si>
    <t>Electronic control panel box --top &amp; bottom</t>
  </si>
  <si>
    <t xml:space="preserve">Electronic control panel box --front &amp; back </t>
  </si>
  <si>
    <t xml:space="preserve">Electronic control panel box --left &amp; right sides </t>
  </si>
  <si>
    <t xml:space="preserve">Subtotal </t>
  </si>
  <si>
    <t xml:space="preserve">Pounds </t>
  </si>
  <si>
    <t>Fabricated Rectangular Part</t>
  </si>
  <si>
    <t>1.5.2.1</t>
  </si>
  <si>
    <t>1.5.2.2</t>
  </si>
  <si>
    <t>1.5.2.3</t>
  </si>
  <si>
    <t>1.5.2.4</t>
  </si>
  <si>
    <t>1.5.2.5</t>
  </si>
  <si>
    <t>1.5.2.6</t>
  </si>
  <si>
    <t>1.5.2.7</t>
  </si>
  <si>
    <t>1.5.2.8</t>
  </si>
  <si>
    <t>Off-the-shelf components</t>
  </si>
  <si>
    <t xml:space="preserve">Weight of item </t>
  </si>
  <si>
    <t xml:space="preserve">Quantity of Item </t>
  </si>
  <si>
    <t xml:space="preserve">total weight for all this item </t>
  </si>
  <si>
    <t xml:space="preserve">Cost per item or per pound </t>
  </si>
  <si>
    <t xml:space="preserve">Total Cost </t>
  </si>
  <si>
    <t xml:space="preserve">Added estimating notes </t>
  </si>
  <si>
    <t xml:space="preserve">Duct Tee's </t>
  </si>
  <si>
    <t xml:space="preserve">Duct axial stiffeners--fabrication cost assumed part of previous sheet </t>
  </si>
  <si>
    <t>Engineering Estimate Based On Past Experience</t>
  </si>
  <si>
    <t>Timken T711</t>
  </si>
  <si>
    <t>Quote Email Applied Industrial Tech. August 1 2013</t>
  </si>
  <si>
    <t>Roller bearings</t>
  </si>
  <si>
    <t>Timken 52RIT240</t>
  </si>
  <si>
    <t>Flex coupling</t>
  </si>
  <si>
    <t>Omega E80</t>
  </si>
  <si>
    <t>Past Quote for 48" WT test program</t>
  </si>
  <si>
    <t>Motor Generator</t>
  </si>
  <si>
    <t>Baldor IDDRPM404006</t>
  </si>
  <si>
    <t xml:space="preserve">Rotor  Blades </t>
  </si>
  <si>
    <t xml:space="preserve">finished blade weights--machining only--hub blank other sheets </t>
  </si>
  <si>
    <t xml:space="preserve">$55,000 verbal estimate Aug 19 from David Bernhardt of NU Con Corp; we provide free machining steel C1119 blank with .100" excess on each side of blades.  --must paint </t>
  </si>
  <si>
    <t>ABB - acs800-17-0580-5+C129</t>
  </si>
  <si>
    <t xml:space="preserve">Mechancial face seal </t>
  </si>
  <si>
    <t xml:space="preserve">$$ based on high pressure Sea Maverick seal 2.625" dia (this is large but low pressure) </t>
  </si>
  <si>
    <t xml:space="preserve">see note left </t>
  </si>
  <si>
    <t>Sea Mavrick seal $5115 each</t>
  </si>
  <si>
    <t>Ducting</t>
  </si>
  <si>
    <t>Jim Mickey REVISED 1-9-14</t>
  </si>
  <si>
    <t>Bearings</t>
  </si>
  <si>
    <t>Thrust bearings</t>
  </si>
  <si>
    <t>cost per part [$/item]</t>
  </si>
  <si>
    <t>Coupling</t>
  </si>
  <si>
    <t>Rotor Blades</t>
  </si>
  <si>
    <t>Power Electronics</t>
  </si>
  <si>
    <t>Off-the-Shelf Components</t>
  </si>
  <si>
    <t xml:space="preserve">1.5.4 </t>
  </si>
  <si>
    <t>Duct Tee's</t>
  </si>
  <si>
    <t>1.5.5.1</t>
  </si>
  <si>
    <t>1.5.5.2</t>
  </si>
  <si>
    <t>cost per unit[$/kg]</t>
  </si>
  <si>
    <t>Flex Coupling</t>
  </si>
  <si>
    <t>Mechanical Face Seal</t>
  </si>
  <si>
    <t>Electronics</t>
  </si>
  <si>
    <t>Seal</t>
  </si>
  <si>
    <t>Fabricated Rectangular Parts</t>
  </si>
  <si>
    <t xml:space="preserve">RM3 Frequency Converter </t>
  </si>
  <si>
    <t>RM3 Seals</t>
  </si>
  <si>
    <t>RM3 Generator</t>
  </si>
  <si>
    <t>15% Default for Fab'd parts</t>
  </si>
  <si>
    <t>5% Default for already mass produced parts</t>
  </si>
  <si>
    <t>RM3 Bearings</t>
  </si>
  <si>
    <t>Progress Ratio/Learning Curve Notes (SJ 5/30/2014)</t>
  </si>
  <si>
    <t>*RM3 Estimate</t>
  </si>
  <si>
    <t>Based off of RM3 estimates with updated spacing between devices (800m vs 600m)</t>
  </si>
  <si>
    <t>http://www.mech.ed.ac.uk/research/wavepower/turbine/design%20&amp;%20construction%20of%20vpt.htm#images_top</t>
  </si>
  <si>
    <t>http://www.sealtd.co.uk/files/34seaclam.pdf</t>
  </si>
  <si>
    <t>USE for MEAN Failure Rate for Wells Turbine</t>
  </si>
  <si>
    <t>8 yrs</t>
  </si>
  <si>
    <t>5 yrs</t>
  </si>
  <si>
    <t>Single Unit Device</t>
  </si>
  <si>
    <t>5 Year</t>
  </si>
  <si>
    <r>
      <t>Depreciate Schedule [MACRS</t>
    </r>
    <r>
      <rPr>
        <sz val="10"/>
        <rFont val="Arial"/>
        <family val="2"/>
      </rPr>
      <t>]</t>
    </r>
  </si>
  <si>
    <t>D - Present Value of Depreciation Tax Shield</t>
  </si>
  <si>
    <t>FCR - Fixed Charge Rate</t>
  </si>
  <si>
    <t>r - Real Discount Rate</t>
  </si>
  <si>
    <t>i - Inflation Rate</t>
  </si>
  <si>
    <t>τ - Composite Federal-State Tax Rate</t>
  </si>
  <si>
    <t>N - Project Economic Life</t>
  </si>
  <si>
    <t>Financial Variables (as per DOE LCOE Guidance Document)</t>
  </si>
  <si>
    <t>RE Vision estimated values, high estimate used unless more appropriate value is found (Jenne)</t>
  </si>
  <si>
    <t>Failure Rates for PTO/PCC</t>
  </si>
  <si>
    <t>Device Retreival requires significantly larger boat than RM3 due to weight, day rate multiplied by 2.5 to account for mass change (see above)</t>
  </si>
  <si>
    <t>Other category rolled over from RM3</t>
  </si>
  <si>
    <t>Used Average $/kg estimate from ReVision</t>
  </si>
  <si>
    <t xml:space="preserve">Cost Estimating Notes </t>
  </si>
  <si>
    <t>Cost Breakdown Structure for OWC Rated at 373 kW</t>
  </si>
  <si>
    <t>Total LCOE ($/kWh)</t>
  </si>
  <si>
    <t>Total LCOE [$/kWh]</t>
  </si>
  <si>
    <t>Device Structure</t>
  </si>
  <si>
    <t>LCOE Overview</t>
  </si>
  <si>
    <t>PCC Breakdown</t>
  </si>
  <si>
    <t>Mooring Breakdown</t>
  </si>
  <si>
    <t>1-Unit Deployment [$/kW]</t>
  </si>
  <si>
    <t>10-Unit Deployment [$/kW]</t>
  </si>
  <si>
    <t>50-Unit Deployment [$/kW]</t>
  </si>
  <si>
    <t>100-Unit Deployment [$/kW]</t>
  </si>
  <si>
    <t>Polyester Line</t>
  </si>
  <si>
    <t>1.3.1 (Wire Rope)</t>
  </si>
  <si>
    <t>Estimate from RM3 ReVision</t>
  </si>
  <si>
    <t xml:space="preserve">Wire Rope to Sub-Sea Buoys </t>
  </si>
  <si>
    <t>Deployment Strategy</t>
  </si>
  <si>
    <t>Mooring Installation (DP-2 Vessel)</t>
  </si>
  <si>
    <t>Transit (5,000 miles)</t>
  </si>
  <si>
    <t>Mob/Demob of Vessels</t>
  </si>
  <si>
    <t>Dockside Support</t>
  </si>
  <si>
    <t>At Dock Landing</t>
  </si>
  <si>
    <t>On-Site working</t>
  </si>
  <si>
    <t xml:space="preserve">Horizontal Drilling </t>
  </si>
  <si>
    <t>Cable Installation (Using Cable Install Vessel)</t>
  </si>
  <si>
    <t>Device Installation (Same Workboat used for O&amp;M)</t>
  </si>
  <si>
    <t>Mob/Demob</t>
  </si>
  <si>
    <t>Operation Detail</t>
  </si>
  <si>
    <t>No. Days</t>
  </si>
  <si>
    <t>Vessel Day Rate</t>
  </si>
  <si>
    <t>Installation Cost Breakdown</t>
  </si>
  <si>
    <t>Cost/Part [$ USD]</t>
  </si>
  <si>
    <t>Annual O&amp;M Breakdown</t>
  </si>
  <si>
    <t>Post-Installation Monitoring</t>
  </si>
  <si>
    <t>LCOE High Level</t>
  </si>
  <si>
    <t>O&amp;M</t>
  </si>
  <si>
    <t>% of Total LCOE</t>
  </si>
  <si>
    <t>CapEx Contributions</t>
  </si>
  <si>
    <t>PCC</t>
  </si>
  <si>
    <t>Design</t>
  </si>
  <si>
    <t>% of Total CapEx</t>
  </si>
  <si>
    <t>Opex Contributions to LCOE</t>
  </si>
  <si>
    <t>Post-Installation Environmental Monitoring</t>
  </si>
  <si>
    <t>% of Total OpEx</t>
  </si>
  <si>
    <t>CBS Category</t>
  </si>
  <si>
    <t>Result Maturity / Fidelity</t>
  </si>
  <si>
    <t>Uncertainty</t>
  </si>
  <si>
    <t>Sub-Category                                                     (if Applicable)</t>
  </si>
  <si>
    <t>Site Assesment</t>
  </si>
  <si>
    <t>Cables and Connectors</t>
  </si>
  <si>
    <t>Dockside and Vessel</t>
  </si>
  <si>
    <t>High</t>
  </si>
  <si>
    <t>Based on data from similar studies and/or engieering judgement and/or data from PNNL study.</t>
  </si>
  <si>
    <t>Medium to High</t>
  </si>
  <si>
    <t>Conceptual layout, generic hardware ID and estimates</t>
  </si>
  <si>
    <t>Generic for dockside and Generic vessel ID</t>
  </si>
  <si>
    <t>Medium</t>
  </si>
  <si>
    <t>Foundation/ Mooring</t>
  </si>
  <si>
    <t xml:space="preserve">Device Structural Components </t>
  </si>
  <si>
    <t>N/A</t>
  </si>
  <si>
    <t>Low to Medium</t>
  </si>
  <si>
    <t>All</t>
  </si>
  <si>
    <t>All Components</t>
  </si>
  <si>
    <t>Time and Material estimates for a specific resource location which includes labor</t>
  </si>
  <si>
    <t>Assumed to 10% of machine cost</t>
  </si>
  <si>
    <t>Assumed to be same as installation cost</t>
  </si>
  <si>
    <t>Large Uncertainties with respect to maintenance and a simplified O&amp;M model</t>
  </si>
  <si>
    <t>Limted failure rate data, based on original part cost</t>
  </si>
  <si>
    <t>Based on offshore Oil/Gas projects</t>
  </si>
  <si>
    <t>Low</t>
  </si>
  <si>
    <t>Based on PNNL study</t>
  </si>
  <si>
    <t>CapEx</t>
  </si>
  <si>
    <t>OpEx</t>
  </si>
  <si>
    <t xml:space="preserve">Detailed Resource Assessment </t>
  </si>
  <si>
    <t>Hydrodynamic Modeling</t>
  </si>
  <si>
    <t>Pilot Low</t>
  </si>
  <si>
    <t>Pilot High</t>
  </si>
  <si>
    <t>Sm Commercial Low</t>
  </si>
  <si>
    <t>Sm Commercial High</t>
  </si>
  <si>
    <t>Lg Commercial Low</t>
  </si>
  <si>
    <t>Lg Commercial High</t>
  </si>
  <si>
    <t>High &amp; Low estimates from PNNL *Note that totals do not match up to report but individual values do.</t>
  </si>
  <si>
    <t xml:space="preserve">*Pilot Values for 30yrs assume 29yrs of 5k for acoustic monitoring. </t>
  </si>
  <si>
    <t>*30 year commercial values from PNNL report</t>
  </si>
  <si>
    <t>Couplings</t>
  </si>
  <si>
    <t>Single Unit PTO Breakdown (350 kW Rated Output)</t>
  </si>
  <si>
    <t>Step up Transformer</t>
  </si>
  <si>
    <t>Assembly, Testing, &amp; QA</t>
  </si>
  <si>
    <t>PTO Mount</t>
  </si>
  <si>
    <t>Hydraulic Motor</t>
  </si>
  <si>
    <t>Motor to Generator Coupling</t>
  </si>
  <si>
    <t>High Pressure Accumulators</t>
  </si>
  <si>
    <t>Releif Valves</t>
  </si>
  <si>
    <t>Pressure Transducers</t>
  </si>
  <si>
    <t xml:space="preserve">Check Valves </t>
  </si>
  <si>
    <t>High Pressure Filter</t>
  </si>
  <si>
    <t>Low Pressure Filter</t>
  </si>
  <si>
    <t>Hydraulic Components</t>
  </si>
  <si>
    <t>cost per unit</t>
  </si>
  <si>
    <t>unit</t>
  </si>
  <si>
    <t>$/Liter</t>
  </si>
  <si>
    <t>liters</t>
  </si>
  <si>
    <t>*Notes</t>
  </si>
  <si>
    <t xml:space="preserve">Quote from ABB/Baldor </t>
  </si>
  <si>
    <t>$/kg</t>
  </si>
  <si>
    <t>McMaster Curve fit rounded to nearest $50</t>
  </si>
  <si>
    <t>$/unit</t>
  </si>
  <si>
    <t>Part #</t>
  </si>
  <si>
    <t>IDDRPM405004</t>
  </si>
  <si>
    <t>OEM</t>
  </si>
  <si>
    <t>Baldor</t>
  </si>
  <si>
    <t>Bosch-Rexroth</t>
  </si>
  <si>
    <t>Hydac</t>
  </si>
  <si>
    <t>KC-50</t>
  </si>
  <si>
    <t>Schroeder</t>
  </si>
  <si>
    <t>Quote from Steve Lewis (Hydraulic Controls)</t>
  </si>
  <si>
    <t>QF15-39</t>
  </si>
  <si>
    <t>Estimat from www.plccenter.com</t>
  </si>
  <si>
    <t>Assume Fabricated Cost to be about $7/lb ($15.50/kg) http://www.matche.com/equipcost/Vessel.html</t>
  </si>
  <si>
    <t>Fabricated</t>
  </si>
  <si>
    <t>A2FM500</t>
  </si>
  <si>
    <t>Eaton</t>
  </si>
  <si>
    <t>CS-03-C50</t>
  </si>
  <si>
    <t>$/Cylinder</t>
  </si>
  <si>
    <t>Price Based on Press*Area*Stroke Relationships</t>
  </si>
  <si>
    <t>$/gal</t>
  </si>
  <si>
    <t>gallons</t>
  </si>
  <si>
    <t>RM3 to RM5 Scaling Factor (If particular price is not available)</t>
  </si>
  <si>
    <t xml:space="preserve">Solenoid Valves </t>
  </si>
  <si>
    <t>$1,700/55 gal drum (grainger.com high water content fluid)</t>
  </si>
  <si>
    <t>Hinge/Flap Bearings</t>
  </si>
  <si>
    <t>http://www.grainger.com/product/PARKER-GRESEN-Pressure-Relief-Valve-38D924?s_pp=false&amp;picUrl=//static.grainger.com/rp/s/is/image/Grainger/38D923_AS01?$smthumb$</t>
  </si>
  <si>
    <t>Estimate using linear relationship from Grainger</t>
  </si>
  <si>
    <t>Parker</t>
  </si>
  <si>
    <t>453-2S2-6</t>
  </si>
  <si>
    <t xml:space="preserve">assumes (13) 75L accumulators at $39.50/L (RM3 $/Liter Estimate) </t>
  </si>
  <si>
    <t>SK600-75</t>
  </si>
  <si>
    <t>Spacing</t>
  </si>
  <si>
    <t xml:space="preserve">Surge Frame </t>
  </si>
  <si>
    <t>Fiberglass Tubing</t>
  </si>
  <si>
    <t>Surge Flap</t>
  </si>
  <si>
    <t>1.4.2.1</t>
  </si>
  <si>
    <t>1.4.2.2</t>
  </si>
  <si>
    <t>1.4.2.3</t>
  </si>
  <si>
    <t>Upright Support Structures - Center</t>
  </si>
  <si>
    <t>$/kg Steel estimates (Average of RM3 estimates by ReVision)</t>
  </si>
  <si>
    <t>$/kg Fiberglass estimates (2.3 $/kg of Steel)</t>
  </si>
  <si>
    <t>1.4.2.4</t>
  </si>
  <si>
    <t>Torque Tube</t>
  </si>
  <si>
    <t>Upright Support Structures - Side (2)</t>
  </si>
  <si>
    <t>Fiberglass multiplier</t>
  </si>
  <si>
    <t>Inter-Device Cable Cost</t>
  </si>
  <si>
    <t>PNNL - Described in Separate Report (RM5)</t>
  </si>
  <si>
    <t>PNNL Document # 23412</t>
  </si>
  <si>
    <t>Copping, Geerlofs, and Hanna. "The Contribution of Environmental Siting and Permitting Requirements to the Cost of Energy for Wave Energy Devices"</t>
  </si>
  <si>
    <t>Anchors - Suction Embedment qty (4) SPT Offshore type</t>
  </si>
  <si>
    <t>5mT SEA Anchor (includes Design, Follower, and Rigging)</t>
  </si>
  <si>
    <t>Anchor</t>
  </si>
  <si>
    <t>1 unit</t>
  </si>
  <si>
    <t>10 unit</t>
  </si>
  <si>
    <t>50 unit</t>
  </si>
  <si>
    <t>100 unit</t>
  </si>
  <si>
    <t>Mooring Estimates from RM6 (chain not applicable for RM5)</t>
  </si>
  <si>
    <t>MBL [kN]</t>
  </si>
  <si>
    <t>Length/device [m]</t>
  </si>
  <si>
    <t>SEA Holding Capacity as function of Weight</t>
  </si>
  <si>
    <t>Weight [tonne]</t>
  </si>
  <si>
    <t>Mooring Conversions</t>
  </si>
  <si>
    <t>1 kN = 0.101971621 Tonne-force</t>
  </si>
  <si>
    <t>1 Tonne-force = 9.81 kN</t>
  </si>
  <si>
    <t>Based on NREL CSM weight relationships assuming 1m ID SKF Roller Bearing</t>
  </si>
  <si>
    <t>Plumbing (Including Flex Lines)</t>
  </si>
  <si>
    <t>Based on High level length and tubing calculations (SJ)</t>
  </si>
  <si>
    <t xml:space="preserve">ACS800-17-0580-5+C129 </t>
  </si>
  <si>
    <t>ABB Baldor</t>
  </si>
  <si>
    <t>Mooring lines</t>
  </si>
  <si>
    <t>Hydraulic Cylinder Mounting</t>
  </si>
  <si>
    <t>Siemens</t>
  </si>
  <si>
    <t>4GB5675-3DA05-0AA2</t>
  </si>
  <si>
    <t>dimensions from https://www.slo.lv/uploads/2012/katalogi/geafol_dry_en.pdf</t>
  </si>
  <si>
    <t>RM3 Hydraulics</t>
  </si>
  <si>
    <t>RM3 Transformer</t>
  </si>
  <si>
    <t>RM3 Control System</t>
  </si>
  <si>
    <t>RM3 Testing</t>
  </si>
  <si>
    <t>RM3 Other</t>
  </si>
  <si>
    <t>PTO Enclosure</t>
  </si>
  <si>
    <t>PTO Enclosure to Frame Mount</t>
  </si>
  <si>
    <t>Assumes double the cost of structural steel for RM5 Frame</t>
  </si>
  <si>
    <t>RM3 assumed 20% but because this is primarily fabricated steel it's been lowered to 10%</t>
  </si>
  <si>
    <t xml:space="preserve">Mass of RM3 and RM5 are comparible therefore assume similar </t>
  </si>
  <si>
    <t>equivilent to RM3 Estimate due to similar mass of RM3 vs RM5</t>
  </si>
  <si>
    <t>RM5 PTO Assembly is 3x's heavier than RM3 therefor total was tripled. (SJ 9/9/14)</t>
  </si>
  <si>
    <t>Cylinder</t>
  </si>
  <si>
    <t>Bearing Assemblies</t>
  </si>
  <si>
    <t>RM3 Estimates</t>
  </si>
  <si>
    <t>Assume Bearing Replacement every 5 years</t>
  </si>
  <si>
    <t>Rebuild Hydraulic System and Oil Change</t>
  </si>
  <si>
    <t># Hydraulic System Replacements/Ops-day</t>
  </si>
  <si>
    <t>Electrical System</t>
  </si>
  <si>
    <t>Mechanical Components</t>
  </si>
  <si>
    <t>Mooring</t>
  </si>
  <si>
    <t># of parts</t>
  </si>
  <si>
    <t>Values from SPT Presentation</t>
  </si>
  <si>
    <t>http://www.fpsoforum.com/archive/Rio2006/SEA%20Presentation%2017th%20FPSO%20Research%20Forum%20April%205th%202006.pdf</t>
  </si>
  <si>
    <t>Mooring MBL [tonne]</t>
  </si>
  <si>
    <t>anchor weight [tonne]</t>
  </si>
  <si>
    <t>L50 Source</t>
  </si>
  <si>
    <t>http://www.machinerylubrication.com/Read/2305/hydraulic-accumulators</t>
  </si>
  <si>
    <t>RM3</t>
  </si>
  <si>
    <t>http://www.parker.com/literature/Hydraulic%20Filter%20Division%20Europe/fdhb289uk.pdf</t>
  </si>
  <si>
    <t>medium clay [mT]</t>
  </si>
  <si>
    <t>stiff clay [mT]</t>
  </si>
  <si>
    <t>UHC soft clay [mT]</t>
  </si>
  <si>
    <t>RM4 Suction Embedment Anchor Estimate</t>
  </si>
  <si>
    <t>Anchor Cost</t>
  </si>
  <si>
    <t>Total Anchor Cost</t>
  </si>
  <si>
    <t>Single Anchor Cost</t>
  </si>
  <si>
    <t>Pile and Engineering Cost</t>
  </si>
  <si>
    <t>Anchor $/Tonne</t>
  </si>
  <si>
    <t>Pile $/Tonne</t>
  </si>
  <si>
    <t># of anchors</t>
  </si>
  <si>
    <t>weight/anchor [tonne]</t>
  </si>
  <si>
    <t>Normalized Anchor and Pile costs 1-10</t>
  </si>
  <si>
    <t># of Anchors</t>
  </si>
  <si>
    <t>anchors/unit</t>
  </si>
  <si>
    <t>RM4 $/tonne per anchor</t>
  </si>
  <si>
    <t>RM5 $/tonne estimates based off of RM4</t>
  </si>
  <si>
    <t>Array size</t>
  </si>
  <si>
    <t>$/tonne estimate</t>
  </si>
  <si>
    <t>Total $/tonne</t>
  </si>
  <si>
    <t>Progress Ratios</t>
  </si>
  <si>
    <t>Hydraulics</t>
  </si>
  <si>
    <t>*Assume Value for all Hydraulic Components</t>
  </si>
  <si>
    <t>10 Unit Scale</t>
  </si>
  <si>
    <t>50 Unit Scale</t>
  </si>
  <si>
    <t>100 Unit Scale</t>
  </si>
  <si>
    <t>HP Filters</t>
  </si>
  <si>
    <t>LP Filters</t>
  </si>
  <si>
    <t>Hydraulic Oil (Biennial Replacement)</t>
  </si>
  <si>
    <t>Data directly taken from PNNL study (RM5)</t>
  </si>
  <si>
    <t>Estimate from 750kW Wind Turbine</t>
  </si>
  <si>
    <t>Eng Cost</t>
  </si>
  <si>
    <t>Total cost</t>
  </si>
  <si>
    <t>Total Anchor cost</t>
  </si>
  <si>
    <t>$/tonne anchor</t>
  </si>
  <si>
    <t>total/tonne</t>
  </si>
  <si>
    <t>anchor mass</t>
  </si>
  <si>
    <t>Adjusted Anchor cost as a function of mass and engineering estimate</t>
  </si>
  <si>
    <t>Assumed learing rate</t>
  </si>
  <si>
    <t>Anchors - Only Anchor Fabrication cost</t>
  </si>
  <si>
    <t>Anchor - Engineering and Pile Installation</t>
  </si>
  <si>
    <t>ORIGINAL RM4 SCALING, APPEARS THAT THERE'S A STEP CHANGE MISSING DO NOT USE</t>
  </si>
  <si>
    <t>medium clay</t>
  </si>
  <si>
    <t>*calculates anchor size based on MBL</t>
  </si>
  <si>
    <t>$/kg estimate from Vicinay (2011) (NO CHAIN ON RM5)</t>
  </si>
  <si>
    <t>Table 1: Adjusted Anchor costs using fixed Eng Cost and assumed learning rate for anchor mass</t>
  </si>
  <si>
    <t>Adjusted ReVision Estimate see Table 1 (SJ 9/11)</t>
  </si>
  <si>
    <t>$/Tonne check</t>
  </si>
  <si>
    <t>Hydraullic Component Breakdown</t>
  </si>
  <si>
    <t>name</t>
  </si>
  <si>
    <t>value</t>
  </si>
  <si>
    <t>10-Unit</t>
  </si>
  <si>
    <t xml:space="preserve">RE Vision cost assessment </t>
  </si>
  <si>
    <t>*Use high dollar estimate due to the increased crane capacity required RM5 PTO significantly heavier than RM3 (SJ 9/12/14)</t>
  </si>
  <si>
    <t>Single Unit Device Failure Rates</t>
  </si>
  <si>
    <t>Ten Unit Device Failure Rates</t>
  </si>
  <si>
    <t xml:space="preserve">Anchor and Mooring have high fluctuations based on sea-bed. </t>
  </si>
  <si>
    <t>TRL 2 design and analysis</t>
  </si>
  <si>
    <t>Primarily off the shelf hydraulic components, with custom hydraulic cylinders. Medium uncertainty due to hydraulic cylinder limitations.</t>
  </si>
  <si>
    <t xml:space="preserve">Medium  </t>
  </si>
  <si>
    <t>Device Performance</t>
  </si>
  <si>
    <t>Structural Design</t>
  </si>
  <si>
    <t>PCC Design</t>
  </si>
  <si>
    <t>Resource Assesment</t>
  </si>
  <si>
    <t>Environmental Compliance</t>
  </si>
  <si>
    <t>Economic</t>
  </si>
  <si>
    <t xml:space="preserve">Low </t>
  </si>
  <si>
    <t xml:space="preserve">Medium </t>
  </si>
  <si>
    <t>Very High</t>
  </si>
  <si>
    <t>Validated Model</t>
  </si>
  <si>
    <t>Validated model or OEM parts</t>
  </si>
  <si>
    <t>Actual Data</t>
  </si>
  <si>
    <t>Model simulation, no scaled test or field data</t>
  </si>
  <si>
    <t>Model simulation</t>
  </si>
  <si>
    <t>Engineering Judgement</t>
  </si>
  <si>
    <t xml:space="preserve">Issue not addressed </t>
  </si>
  <si>
    <t xml:space="preserve">Validated model </t>
  </si>
  <si>
    <r>
      <t xml:space="preserve">Model simulation, no scaled test or field data - </t>
    </r>
    <r>
      <rPr>
        <b/>
        <sz val="12"/>
        <color theme="3" tint="0.39997558519241921"/>
        <rFont val="Calibri"/>
        <family val="2"/>
        <scheme val="minor"/>
      </rPr>
      <t>WEC Performance</t>
    </r>
  </si>
  <si>
    <r>
      <t xml:space="preserve">Non-validated model simulatio, no test data - </t>
    </r>
    <r>
      <rPr>
        <b/>
        <sz val="12"/>
        <color theme="3" tint="0.39997558519241921"/>
        <rFont val="Calibri"/>
        <family val="2"/>
        <scheme val="minor"/>
      </rPr>
      <t>Experience lacking submersed PCC's</t>
    </r>
  </si>
  <si>
    <r>
      <t xml:space="preserve">Data from similar renewable energy technology, </t>
    </r>
    <r>
      <rPr>
        <b/>
        <sz val="12"/>
        <color theme="3" tint="0.39997558519241921"/>
        <rFont val="Calibri"/>
        <family val="2"/>
        <scheme val="minor"/>
      </rPr>
      <t>M&amp;D, O&amp;M</t>
    </r>
  </si>
  <si>
    <r>
      <t xml:space="preserve">Engineering Judgement - </t>
    </r>
    <r>
      <rPr>
        <b/>
        <sz val="12"/>
        <color theme="3" tint="0.39997558519241921"/>
        <rFont val="Calibri"/>
        <family val="2"/>
        <scheme val="minor"/>
      </rPr>
      <t>Reliability</t>
    </r>
  </si>
  <si>
    <r>
      <t xml:space="preserve">Issue not addressed - </t>
    </r>
    <r>
      <rPr>
        <b/>
        <sz val="12"/>
        <color theme="3" tint="0.39997558519241921"/>
        <rFont val="Calibri"/>
        <family val="2"/>
        <scheme val="minor"/>
      </rPr>
      <t xml:space="preserve">Array Wake Effects </t>
    </r>
  </si>
  <si>
    <r>
      <t xml:space="preserve">Issue not addressed - </t>
    </r>
    <r>
      <rPr>
        <b/>
        <sz val="12"/>
        <color theme="3" tint="0.39997558519241921"/>
        <rFont val="Calibri"/>
        <family val="2"/>
        <scheme val="minor"/>
      </rPr>
      <t>dynamic loads and fatigue</t>
    </r>
  </si>
  <si>
    <t>Uncertainty Matrix for RM5</t>
  </si>
  <si>
    <t xml:space="preserve">CAD designs, Conceptual Designs, steel cost estimates. High uncertainty is due to dynamic an fatigue loads not addressed.  </t>
  </si>
  <si>
    <t xml:space="preserve">Large Uncertainties in failure rates for submersible, hydraulic PCC assemblies. </t>
  </si>
  <si>
    <t>Annual</t>
  </si>
  <si>
    <t>Cost Breakdown Structure for RM5 (RM3 CBS Structure)</t>
  </si>
  <si>
    <t>Device Performance and Financing</t>
  </si>
  <si>
    <t>Nylon Line MBL 5754 kN (three 45m Lines per device)</t>
  </si>
  <si>
    <t>RM5 Component Cost and LCOE Calculations Spreadsheet</t>
  </si>
  <si>
    <t xml:space="preserve">This spreadsheet was created under the same framework of the ReVision CBS spreadsheets for RM1-4, Particularly RM3. Where cost data is unavailable relationships were created from RM3 as it is a Wave Energy Converter (WEC) with a hydraulic PTO (PCC) design. In order to prevent unesesary discpreancies between the RM projects $ estimates from RM3 were prefered unless other quotes were available. Each tab contains a section of the CBS which includes any and all calculations used for LCOE inputs. There are 3 tabs CBS (COE), CBS ($ per kW), and CBS (Total) that calculate the LCOE estimate for 1, 10, 50, and 100 units. Respectively they list the categories of the CBS as contribution to LCOE, $/kW, and total $. </t>
  </si>
  <si>
    <t xml:space="preserve">Any questions on this particular CBS spreadsheet should be directed to: </t>
  </si>
  <si>
    <t>Scott Jenne</t>
  </si>
  <si>
    <t>National Renewable Energy Laboratory</t>
  </si>
  <si>
    <t>Golden, CO 80401</t>
  </si>
  <si>
    <t>dale.jenne@nrel.gov</t>
  </si>
  <si>
    <t>303-384-7248</t>
  </si>
  <si>
    <t>Device Commissioning</t>
  </si>
  <si>
    <t>Manufacturing &amp; Deployment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</si>
</sst>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0.0%"/>
    <numFmt numFmtId="167" formatCode="0.0"/>
    <numFmt numFmtId="168" formatCode="&quot;$&quot;#,##0.00"/>
    <numFmt numFmtId="169" formatCode="_(&quot;$&quot;* #,##0_);_(&quot;$&quot;* \(#,##0\);_(&quot;$&quot;* &quot;-&quot;??_);_(@_)"/>
    <numFmt numFmtId="170" formatCode="#,##0.0"/>
    <numFmt numFmtId="171" formatCode="0.0000"/>
    <numFmt numFmtId="172" formatCode="0.000"/>
    <numFmt numFmtId="173" formatCode="[$$-409]#,##0_);\([$$-409]#,##0\)"/>
    <numFmt numFmtId="174" formatCode="0.000000000000000%"/>
    <numFmt numFmtId="175" formatCode="#,##0.0_);\(#,##0.0\)"/>
    <numFmt numFmtId="176" formatCode="0.00000%"/>
    <numFmt numFmtId="177" formatCode="_(&quot;$&quot;* #,##0.0_);_(&quot;$&quot;* \(#,##0.0\);_(&quot;$&quot;* &quot;-&quot;??_);_(@_)"/>
    <numFmt numFmtId="178" formatCode="[$€-2]\ #,##0"/>
    <numFmt numFmtId="179" formatCode="_([$$-409]* #,##0.00_);_([$$-409]* \(#,##0.00\);_([$$-409]* &quot;-&quot;??_);_(@_)"/>
    <numFmt numFmtId="180" formatCode="[$$-409]#,##0.00"/>
    <numFmt numFmtId="181" formatCode="#,##0.000_);\(#,##0.000\)"/>
  </numFmts>
  <fonts count="72" x14ac:knownFonts="1">
    <font>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scheme val="minor"/>
    </font>
    <font>
      <b/>
      <sz val="10"/>
      <name val="Arial"/>
      <family val="2"/>
    </font>
    <font>
      <b/>
      <sz val="11"/>
      <color theme="1"/>
      <name val="Times New Roman"/>
      <family val="1"/>
    </font>
    <font>
      <b/>
      <sz val="12"/>
      <name val="Arial"/>
      <family val="2"/>
    </font>
    <font>
      <i/>
      <sz val="10"/>
      <name val="Arial"/>
      <family val="2"/>
    </font>
    <font>
      <sz val="11"/>
      <color indexed="8"/>
      <name val="Calibri"/>
      <family val="2"/>
      <scheme val="minor"/>
    </font>
    <font>
      <sz val="10"/>
      <color theme="1"/>
      <name val="Arial"/>
      <family val="2"/>
    </font>
    <font>
      <sz val="11"/>
      <name val="Calibri"/>
      <family val="2"/>
      <scheme val="minor"/>
    </font>
    <font>
      <b/>
      <sz val="12"/>
      <color theme="1"/>
      <name val="Calibri"/>
      <family val="2"/>
      <scheme val="minor"/>
    </font>
    <font>
      <sz val="11"/>
      <name val="Arial"/>
      <family val="2"/>
    </font>
    <font>
      <i/>
      <sz val="11"/>
      <color theme="1"/>
      <name val="Calibri"/>
      <family val="2"/>
      <scheme val="minor"/>
    </font>
    <font>
      <u/>
      <sz val="11"/>
      <color theme="10"/>
      <name val="Calibri"/>
      <family val="2"/>
      <scheme val="minor"/>
    </font>
    <font>
      <u/>
      <sz val="10"/>
      <color indexed="12"/>
      <name val="Arial"/>
      <family val="2"/>
    </font>
    <font>
      <sz val="10"/>
      <color indexed="8"/>
      <name val="Arial"/>
      <family val="2"/>
    </font>
    <font>
      <sz val="10"/>
      <color indexed="10"/>
      <name val="Arial"/>
      <family val="2"/>
    </font>
    <font>
      <sz val="10"/>
      <color indexed="9"/>
      <name val="Arial"/>
      <family val="2"/>
    </font>
    <font>
      <u/>
      <sz val="11"/>
      <name val="Arial"/>
      <family val="2"/>
    </font>
    <font>
      <sz val="11"/>
      <color theme="1"/>
      <name val="Arial"/>
      <family val="2"/>
    </font>
    <font>
      <b/>
      <sz val="10"/>
      <color theme="1"/>
      <name val="Arial"/>
      <family val="2"/>
    </font>
    <font>
      <sz val="12"/>
      <color indexed="8"/>
      <name val="Calibri"/>
      <family val="2"/>
    </font>
    <font>
      <sz val="11"/>
      <color rgb="FFFF0000"/>
      <name val="Calibri"/>
      <family val="2"/>
      <scheme val="minor"/>
    </font>
    <font>
      <b/>
      <sz val="10"/>
      <name val="Times New Roman"/>
      <family val="1"/>
    </font>
    <font>
      <sz val="10"/>
      <name val="Times New Roman"/>
      <family val="1"/>
    </font>
    <font>
      <i/>
      <sz val="10"/>
      <name val="Times New Roman"/>
      <family val="1"/>
    </font>
    <font>
      <sz val="11"/>
      <color theme="1"/>
      <name val="Times New Roman"/>
      <family val="1"/>
    </font>
    <font>
      <sz val="12"/>
      <color rgb="FF9C6500"/>
      <name val="Calibri"/>
      <family val="2"/>
      <scheme val="minor"/>
    </font>
    <font>
      <vertAlign val="subscript"/>
      <sz val="11"/>
      <color theme="1"/>
      <name val="Calibri"/>
      <family val="2"/>
      <scheme val="minor"/>
    </font>
    <font>
      <b/>
      <vertAlign val="subscript"/>
      <sz val="11"/>
      <color theme="1"/>
      <name val="Calibri"/>
      <family val="2"/>
      <scheme val="minor"/>
    </font>
    <font>
      <b/>
      <sz val="12"/>
      <color rgb="FF9C6500"/>
      <name val="Calibri"/>
      <family val="2"/>
      <scheme val="minor"/>
    </font>
    <font>
      <b/>
      <vertAlign val="superscript"/>
      <sz val="11"/>
      <color theme="1"/>
      <name val="Calibri"/>
      <family val="2"/>
      <scheme val="minor"/>
    </font>
    <font>
      <b/>
      <i/>
      <sz val="11"/>
      <color theme="1"/>
      <name val="Calibri"/>
      <family val="2"/>
      <scheme val="minor"/>
    </font>
    <font>
      <b/>
      <sz val="11"/>
      <color rgb="FFFF0000"/>
      <name val="Calibri"/>
      <family val="2"/>
      <scheme val="minor"/>
    </font>
    <font>
      <b/>
      <sz val="11"/>
      <color theme="3" tint="-0.249977111117893"/>
      <name val="Calibri"/>
      <family val="2"/>
      <scheme val="minor"/>
    </font>
    <font>
      <b/>
      <sz val="18"/>
      <name val="Calibri"/>
      <family val="2"/>
      <scheme val="minor"/>
    </font>
    <font>
      <b/>
      <sz val="28"/>
      <color rgb="FFFF0000"/>
      <name val="Calibri"/>
      <family val="2"/>
      <scheme val="minor"/>
    </font>
    <font>
      <sz val="9"/>
      <color theme="1"/>
      <name val="Calibri"/>
      <family val="2"/>
      <scheme val="minor"/>
    </font>
    <font>
      <b/>
      <sz val="9"/>
      <color theme="0"/>
      <name val="Calibri"/>
      <family val="2"/>
      <scheme val="minor"/>
    </font>
    <font>
      <b/>
      <sz val="9"/>
      <color theme="1"/>
      <name val="Calibri"/>
      <family val="2"/>
      <scheme val="minor"/>
    </font>
    <font>
      <sz val="11"/>
      <color rgb="FF000000"/>
      <name val="Calibri"/>
      <family val="2"/>
      <scheme val="minor"/>
    </font>
    <font>
      <sz val="11"/>
      <color theme="1" tint="0.34998626667073579"/>
      <name val="Calibri"/>
      <family val="2"/>
      <scheme val="minor"/>
    </font>
    <font>
      <sz val="11"/>
      <color theme="1" tint="0.249977111117893"/>
      <name val="Calibri"/>
      <family val="2"/>
      <scheme val="minor"/>
    </font>
    <font>
      <b/>
      <sz val="11"/>
      <color theme="1" tint="0.249977111117893"/>
      <name val="Calibri"/>
      <family val="2"/>
      <scheme val="minor"/>
    </font>
    <font>
      <sz val="11"/>
      <color theme="0" tint="-0.499984740745262"/>
      <name val="Calibri"/>
      <family val="2"/>
      <scheme val="minor"/>
    </font>
    <font>
      <b/>
      <sz val="11"/>
      <color theme="0" tint="-0.499984740745262"/>
      <name val="Calibri"/>
      <family val="2"/>
      <scheme val="minor"/>
    </font>
    <font>
      <i/>
      <sz val="11"/>
      <color theme="0" tint="-0.499984740745262"/>
      <name val="Calibri"/>
      <family val="2"/>
      <scheme val="minor"/>
    </font>
    <font>
      <b/>
      <sz val="11"/>
      <color theme="0"/>
      <name val="Calibri"/>
      <family val="2"/>
      <scheme val="minor"/>
    </font>
    <font>
      <sz val="12"/>
      <color theme="0" tint="-0.499984740745262"/>
      <name val="Calibri"/>
      <family val="2"/>
      <scheme val="minor"/>
    </font>
    <font>
      <b/>
      <sz val="12"/>
      <name val="Calibri"/>
      <family val="2"/>
      <scheme val="minor"/>
    </font>
    <font>
      <b/>
      <sz val="12"/>
      <color theme="3" tint="0.39997558519241921"/>
      <name val="Calibri"/>
      <family val="2"/>
      <scheme val="minor"/>
    </font>
    <font>
      <strike/>
      <sz val="11"/>
      <color theme="0" tint="-0.34998626667073579"/>
      <name val="Calibri"/>
      <family val="2"/>
      <scheme val="minor"/>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EB9C"/>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theme="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bgColor indexed="64"/>
      </patternFill>
    </fill>
    <fill>
      <patternFill patternType="solid">
        <fgColor theme="9"/>
        <bgColor indexed="64"/>
      </patternFill>
    </fill>
    <fill>
      <patternFill patternType="solid">
        <fgColor rgb="FFFFC000"/>
        <bgColor indexed="64"/>
      </patternFill>
    </fill>
    <fill>
      <patternFill patternType="solid">
        <fgColor theme="4"/>
        <bgColor indexed="64"/>
      </patternFill>
    </fill>
    <fill>
      <patternFill patternType="solid">
        <fgColor theme="2"/>
        <bgColor indexed="64"/>
      </patternFill>
    </fill>
    <fill>
      <patternFill patternType="solid">
        <fgColor theme="9" tint="-0.249977111117893"/>
        <bgColor indexed="64"/>
      </patternFill>
    </fill>
    <fill>
      <patternFill patternType="lightUp">
        <fgColor theme="0" tint="-0.34998626667073579"/>
        <bgColor indexed="65"/>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double">
        <color indexed="64"/>
      </bottom>
      <diagonal/>
    </border>
    <border>
      <left/>
      <right/>
      <top/>
      <bottom style="double">
        <color indexed="64"/>
      </bottom>
      <diagonal/>
    </border>
    <border>
      <left/>
      <right/>
      <top/>
      <bottom style="double">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diagonal/>
    </border>
    <border>
      <left style="medium">
        <color indexed="64"/>
      </left>
      <right style="thin">
        <color theme="0"/>
      </right>
      <top style="thin">
        <color theme="0"/>
      </top>
      <bottom/>
      <diagonal/>
    </border>
    <border>
      <left/>
      <right/>
      <top/>
      <bottom style="double">
        <color indexed="64"/>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s>
  <cellStyleXfs count="195">
    <xf numFmtId="0" fontId="0" fillId="0" borderId="0"/>
    <xf numFmtId="164" fontId="4" fillId="0" borderId="0">
      <alignment horizontal="left" wrapText="1"/>
    </xf>
    <xf numFmtId="9" fontId="4" fillId="0" borderId="0" applyFont="0" applyFill="0" applyBorder="0" applyAlignment="0" applyProtection="0"/>
    <xf numFmtId="0" fontId="4" fillId="0" borderId="0"/>
    <xf numFmtId="43"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0" borderId="0"/>
    <xf numFmtId="0" fontId="5" fillId="23" borderId="7" applyNumberFormat="0" applyFont="0" applyAlignment="0" applyProtection="0"/>
    <xf numFmtId="0" fontId="18" fillId="20" borderId="8" applyNumberFormat="0" applyAlignment="0" applyProtection="0"/>
    <xf numFmtId="9" fontId="4"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 fillId="0" borderId="0"/>
    <xf numFmtId="0" fontId="5" fillId="0" borderId="0"/>
    <xf numFmtId="0" fontId="2" fillId="0" borderId="0"/>
    <xf numFmtId="9" fontId="2" fillId="0" borderId="0" applyFont="0" applyFill="0" applyBorder="0" applyAlignment="0" applyProtection="0"/>
    <xf numFmtId="0" fontId="4" fillId="0" borderId="0"/>
    <xf numFmtId="164" fontId="4" fillId="0" borderId="0">
      <alignment horizontal="left" wrapText="1"/>
    </xf>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4"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9" fontId="2" fillId="0" borderId="0" applyFont="0" applyFill="0" applyBorder="0" applyAlignment="0" applyProtection="0"/>
    <xf numFmtId="0" fontId="47" fillId="28" borderId="0" applyNumberFormat="0" applyBorder="0" applyAlignment="0" applyProtection="0"/>
    <xf numFmtId="43" fontId="2" fillId="0" borderId="0" applyFont="0" applyFill="0" applyBorder="0" applyAlignment="0" applyProtection="0"/>
    <xf numFmtId="0" fontId="16" fillId="0" borderId="52" applyNumberFormat="0" applyFill="0" applyAlignment="0" applyProtection="0"/>
    <xf numFmtId="0" fontId="16" fillId="0" borderId="52" applyNumberFormat="0" applyFill="0" applyAlignment="0" applyProtection="0"/>
    <xf numFmtId="0" fontId="8" fillId="20" borderId="53" applyNumberFormat="0" applyAlignment="0" applyProtection="0"/>
    <xf numFmtId="0" fontId="15" fillId="7" borderId="53" applyNumberFormat="0" applyAlignment="0" applyProtection="0"/>
    <xf numFmtId="0" fontId="5" fillId="23" borderId="54" applyNumberFormat="0" applyFont="0" applyAlignment="0" applyProtection="0"/>
    <xf numFmtId="0" fontId="18" fillId="20" borderId="55" applyNumberFormat="0" applyAlignment="0" applyProtection="0"/>
    <xf numFmtId="0" fontId="20" fillId="0" borderId="56" applyNumberFormat="0" applyFill="0" applyAlignment="0" applyProtection="0"/>
    <xf numFmtId="0" fontId="8" fillId="20" borderId="53" applyNumberFormat="0" applyAlignment="0" applyProtection="0"/>
    <xf numFmtId="0" fontId="8" fillId="20" borderId="53" applyNumberFormat="0" applyAlignment="0" applyProtection="0"/>
    <xf numFmtId="0" fontId="8" fillId="20" borderId="53" applyNumberFormat="0" applyAlignment="0" applyProtection="0"/>
    <xf numFmtId="0" fontId="15" fillId="7" borderId="53" applyNumberFormat="0" applyAlignment="0" applyProtection="0"/>
    <xf numFmtId="0" fontId="15" fillId="7" borderId="53" applyNumberFormat="0" applyAlignment="0" applyProtection="0"/>
    <xf numFmtId="0" fontId="15" fillId="7" borderId="53" applyNumberFormat="0" applyAlignment="0" applyProtection="0"/>
    <xf numFmtId="0" fontId="5" fillId="23" borderId="54" applyNumberFormat="0" applyFont="0" applyAlignment="0" applyProtection="0"/>
    <xf numFmtId="0" fontId="5" fillId="23" borderId="54" applyNumberFormat="0" applyFont="0" applyAlignment="0" applyProtection="0"/>
    <xf numFmtId="0" fontId="5" fillId="23" borderId="54" applyNumberFormat="0" applyFont="0" applyAlignment="0" applyProtection="0"/>
    <xf numFmtId="0" fontId="18" fillId="20" borderId="55" applyNumberFormat="0" applyAlignment="0" applyProtection="0"/>
    <xf numFmtId="0" fontId="18" fillId="20" borderId="55" applyNumberFormat="0" applyAlignment="0" applyProtection="0"/>
    <xf numFmtId="0" fontId="18" fillId="20" borderId="55" applyNumberFormat="0" applyAlignment="0" applyProtection="0"/>
    <xf numFmtId="0" fontId="20" fillId="0" borderId="56" applyNumberFormat="0" applyFill="0" applyAlignment="0" applyProtection="0"/>
    <xf numFmtId="0" fontId="20" fillId="0" borderId="56" applyNumberFormat="0" applyFill="0" applyAlignment="0" applyProtection="0"/>
    <xf numFmtId="0" fontId="20" fillId="0" borderId="56" applyNumberFormat="0" applyFill="0" applyAlignment="0" applyProtection="0"/>
    <xf numFmtId="0" fontId="5" fillId="23" borderId="60" applyNumberFormat="0" applyFont="0" applyAlignment="0" applyProtection="0"/>
    <xf numFmtId="0" fontId="5" fillId="23" borderId="60" applyNumberFormat="0" applyFont="0" applyAlignment="0" applyProtection="0"/>
    <xf numFmtId="0" fontId="15" fillId="7" borderId="59" applyNumberFormat="0" applyAlignment="0" applyProtection="0"/>
    <xf numFmtId="0" fontId="8" fillId="20" borderId="59" applyNumberFormat="0" applyAlignment="0" applyProtection="0"/>
    <xf numFmtId="0" fontId="18" fillId="20" borderId="57" applyNumberFormat="0" applyAlignment="0" applyProtection="0"/>
    <xf numFmtId="0" fontId="20" fillId="0" borderId="58" applyNumberFormat="0" applyFill="0" applyAlignment="0" applyProtection="0"/>
    <xf numFmtId="0" fontId="15" fillId="7" borderId="59" applyNumberFormat="0" applyAlignment="0" applyProtection="0"/>
    <xf numFmtId="0" fontId="5" fillId="23" borderId="60" applyNumberFormat="0" applyFont="0" applyAlignment="0" applyProtection="0"/>
    <xf numFmtId="0" fontId="15" fillId="7" borderId="59" applyNumberFormat="0" applyAlignment="0" applyProtection="0"/>
    <xf numFmtId="0" fontId="15" fillId="7" borderId="59" applyNumberFormat="0" applyAlignment="0" applyProtection="0"/>
    <xf numFmtId="0" fontId="8" fillId="20" borderId="59" applyNumberFormat="0" applyAlignment="0" applyProtection="0"/>
    <xf numFmtId="0" fontId="8" fillId="20" borderId="59" applyNumberFormat="0" applyAlignment="0" applyProtection="0"/>
    <xf numFmtId="0" fontId="5" fillId="23" borderId="60" applyNumberFormat="0" applyFont="0" applyAlignment="0" applyProtection="0"/>
    <xf numFmtId="0" fontId="8" fillId="20" borderId="59" applyNumberFormat="0" applyAlignment="0" applyProtection="0"/>
    <xf numFmtId="0" fontId="18" fillId="20" borderId="57" applyNumberFormat="0" applyAlignment="0" applyProtection="0"/>
    <xf numFmtId="0" fontId="18" fillId="20" borderId="57" applyNumberFormat="0" applyAlignment="0" applyProtection="0"/>
    <xf numFmtId="0" fontId="18" fillId="20" borderId="57" applyNumberFormat="0" applyAlignment="0" applyProtection="0"/>
    <xf numFmtId="0" fontId="20" fillId="0" borderId="58" applyNumberFormat="0" applyFill="0" applyAlignment="0" applyProtection="0"/>
    <xf numFmtId="0" fontId="20" fillId="0" borderId="58" applyNumberFormat="0" applyFill="0" applyAlignment="0" applyProtection="0"/>
    <xf numFmtId="0" fontId="20" fillId="0" borderId="58" applyNumberFormat="0" applyFill="0" applyAlignment="0" applyProtection="0"/>
  </cellStyleXfs>
  <cellXfs count="1264">
    <xf numFmtId="0" fontId="0" fillId="0" borderId="0" xfId="0"/>
    <xf numFmtId="0" fontId="0" fillId="0" borderId="0" xfId="0" applyAlignment="1">
      <alignment horizontal="left"/>
    </xf>
    <xf numFmtId="0" fontId="1" fillId="0" borderId="0" xfId="0" applyFont="1" applyAlignment="1">
      <alignment horizontal="left"/>
    </xf>
    <xf numFmtId="42" fontId="0" fillId="0" borderId="0" xfId="0" applyNumberFormat="1" applyFill="1"/>
    <xf numFmtId="0" fontId="0" fillId="0" borderId="0" xfId="0" applyFill="1"/>
    <xf numFmtId="0" fontId="0" fillId="0" borderId="0" xfId="0"/>
    <xf numFmtId="165" fontId="0" fillId="0" borderId="0" xfId="0" applyNumberFormat="1"/>
    <xf numFmtId="0" fontId="3" fillId="0" borderId="0" xfId="0" applyFont="1"/>
    <xf numFmtId="0" fontId="0" fillId="0" borderId="0" xfId="0"/>
    <xf numFmtId="0" fontId="3" fillId="0" borderId="0" xfId="0" applyFont="1"/>
    <xf numFmtId="0" fontId="0" fillId="0" borderId="0" xfId="0" applyAlignment="1">
      <alignment horizontal="right"/>
    </xf>
    <xf numFmtId="0" fontId="0" fillId="0" borderId="0" xfId="0" applyFont="1"/>
    <xf numFmtId="0" fontId="0" fillId="0" borderId="0" xfId="0" applyBorder="1"/>
    <xf numFmtId="0" fontId="0" fillId="0" borderId="0" xfId="0" applyFill="1" applyBorder="1"/>
    <xf numFmtId="165" fontId="0" fillId="0" borderId="0" xfId="0" applyNumberFormat="1"/>
    <xf numFmtId="9" fontId="0" fillId="0" borderId="0" xfId="0" applyNumberFormat="1"/>
    <xf numFmtId="0" fontId="0" fillId="0" borderId="17" xfId="0" applyBorder="1"/>
    <xf numFmtId="165" fontId="0" fillId="0" borderId="17" xfId="0" applyNumberFormat="1" applyBorder="1"/>
    <xf numFmtId="3" fontId="0" fillId="0" borderId="17" xfId="0" applyNumberFormat="1" applyBorder="1"/>
    <xf numFmtId="167" fontId="0" fillId="0" borderId="0" xfId="0" applyNumberFormat="1"/>
    <xf numFmtId="10" fontId="0" fillId="0" borderId="0" xfId="0" applyNumberFormat="1"/>
    <xf numFmtId="0" fontId="0" fillId="24" borderId="0" xfId="0" applyFill="1"/>
    <xf numFmtId="0" fontId="0" fillId="0" borderId="17" xfId="0" applyFont="1" applyBorder="1"/>
    <xf numFmtId="3" fontId="0" fillId="0" borderId="0" xfId="0" applyNumberFormat="1" applyBorder="1"/>
    <xf numFmtId="165" fontId="0" fillId="0" borderId="0" xfId="0" applyNumberFormat="1" applyBorder="1"/>
    <xf numFmtId="168" fontId="0" fillId="0" borderId="0" xfId="0" applyNumberFormat="1" applyBorder="1"/>
    <xf numFmtId="9" fontId="0" fillId="0" borderId="0" xfId="0" applyNumberFormat="1" applyBorder="1"/>
    <xf numFmtId="0" fontId="0" fillId="0" borderId="0" xfId="0" applyFont="1" applyFill="1" applyBorder="1"/>
    <xf numFmtId="165" fontId="0" fillId="0" borderId="0" xfId="0" applyNumberFormat="1" applyFill="1" applyBorder="1"/>
    <xf numFmtId="0" fontId="3" fillId="0" borderId="0" xfId="0" applyFont="1" applyBorder="1"/>
    <xf numFmtId="170" fontId="0" fillId="0" borderId="0" xfId="0" applyNumberFormat="1" applyBorder="1"/>
    <xf numFmtId="4" fontId="0" fillId="0" borderId="0" xfId="0" applyNumberFormat="1" applyBorder="1"/>
    <xf numFmtId="2" fontId="0" fillId="0" borderId="0" xfId="0" applyNumberFormat="1"/>
    <xf numFmtId="3" fontId="0" fillId="0" borderId="0" xfId="0" applyNumberFormat="1" applyFill="1"/>
    <xf numFmtId="0" fontId="26" fillId="0" borderId="0" xfId="0" applyNumberFormat="1" applyFont="1" applyFill="1" applyBorder="1" applyAlignment="1" applyProtection="1">
      <alignment horizontal="center"/>
    </xf>
    <xf numFmtId="0" fontId="0" fillId="0" borderId="0" xfId="0"/>
    <xf numFmtId="0" fontId="0" fillId="0" borderId="0" xfId="0" applyAlignment="1">
      <alignment horizontal="left"/>
    </xf>
    <xf numFmtId="42" fontId="0" fillId="0" borderId="0" xfId="0" applyNumberFormat="1"/>
    <xf numFmtId="0" fontId="0" fillId="0" borderId="0" xfId="0" applyFill="1"/>
    <xf numFmtId="165" fontId="0" fillId="0" borderId="0" xfId="0" applyNumberFormat="1"/>
    <xf numFmtId="0" fontId="3" fillId="0" borderId="0" xfId="0" applyFont="1"/>
    <xf numFmtId="166" fontId="0" fillId="0" borderId="0" xfId="0" applyNumberFormat="1"/>
    <xf numFmtId="9" fontId="0" fillId="0" borderId="0" xfId="0" applyNumberFormat="1"/>
    <xf numFmtId="168" fontId="0" fillId="0" borderId="0" xfId="0" applyNumberFormat="1"/>
    <xf numFmtId="0" fontId="0" fillId="0" borderId="0" xfId="0" applyAlignment="1">
      <alignment horizontal="right"/>
    </xf>
    <xf numFmtId="10" fontId="0" fillId="0" borderId="0" xfId="0" applyNumberFormat="1"/>
    <xf numFmtId="0" fontId="0" fillId="0" borderId="0" xfId="0" applyFont="1" applyBorder="1"/>
    <xf numFmtId="165" fontId="0" fillId="0" borderId="0" xfId="0" applyNumberFormat="1" applyBorder="1"/>
    <xf numFmtId="2" fontId="0" fillId="0" borderId="0" xfId="0" applyNumberFormat="1"/>
    <xf numFmtId="0" fontId="0" fillId="0" borderId="0" xfId="0"/>
    <xf numFmtId="0" fontId="0" fillId="0" borderId="0" xfId="0" applyFont="1" applyBorder="1" applyAlignment="1">
      <alignment horizontal="left"/>
    </xf>
    <xf numFmtId="0" fontId="27" fillId="0" borderId="0" xfId="0" applyFont="1" applyBorder="1" applyAlignment="1">
      <alignment vertical="top" wrapText="1"/>
    </xf>
    <xf numFmtId="0" fontId="0" fillId="0" borderId="0" xfId="0" applyFont="1" applyBorder="1" applyAlignment="1"/>
    <xf numFmtId="0" fontId="27" fillId="0" borderId="0" xfId="0" applyFont="1" applyBorder="1" applyAlignment="1">
      <alignment vertical="top"/>
    </xf>
    <xf numFmtId="0" fontId="5" fillId="0" borderId="0" xfId="0" applyFont="1" applyBorder="1" applyAlignment="1">
      <alignment vertical="top" wrapText="1"/>
    </xf>
    <xf numFmtId="3" fontId="0" fillId="0" borderId="0" xfId="0" applyNumberFormat="1"/>
    <xf numFmtId="0" fontId="0" fillId="0" borderId="0" xfId="0"/>
    <xf numFmtId="0" fontId="3" fillId="0" borderId="0" xfId="0" applyFont="1"/>
    <xf numFmtId="0" fontId="0" fillId="0" borderId="0" xfId="0" applyFont="1"/>
    <xf numFmtId="0" fontId="0" fillId="0" borderId="0" xfId="0" applyFill="1"/>
    <xf numFmtId="0" fontId="0" fillId="0" borderId="0" xfId="0" applyFill="1" applyBorder="1"/>
    <xf numFmtId="0" fontId="0" fillId="0" borderId="0" xfId="0" applyAlignment="1">
      <alignment horizontal="right"/>
    </xf>
    <xf numFmtId="42" fontId="0" fillId="0" borderId="0" xfId="0" applyNumberFormat="1"/>
    <xf numFmtId="44" fontId="0" fillId="0" borderId="0" xfId="0" applyNumberFormat="1"/>
    <xf numFmtId="0" fontId="0" fillId="0" borderId="0" xfId="0"/>
    <xf numFmtId="0" fontId="0" fillId="0" borderId="0" xfId="0" applyBorder="1"/>
    <xf numFmtId="167" fontId="0" fillId="0" borderId="0" xfId="0" applyNumberFormat="1" applyFill="1"/>
    <xf numFmtId="1" fontId="0" fillId="0" borderId="0" xfId="0" applyNumberFormat="1" applyAlignment="1">
      <alignment horizontal="center"/>
    </xf>
    <xf numFmtId="0" fontId="0" fillId="0" borderId="0" xfId="0"/>
    <xf numFmtId="0" fontId="3" fillId="0" borderId="0" xfId="0" applyFont="1" applyAlignment="1">
      <alignment horizontal="left"/>
    </xf>
    <xf numFmtId="1" fontId="0" fillId="0" borderId="0" xfId="0" applyNumberFormat="1" applyBorder="1"/>
    <xf numFmtId="0" fontId="0" fillId="0" borderId="20" xfId="0" applyBorder="1"/>
    <xf numFmtId="0" fontId="0" fillId="0" borderId="20" xfId="0" applyBorder="1" applyAlignment="1">
      <alignment horizontal="left" vertical="center"/>
    </xf>
    <xf numFmtId="0" fontId="0" fillId="0" borderId="0" xfId="0" applyAlignment="1">
      <alignment vertical="center"/>
    </xf>
    <xf numFmtId="0" fontId="30" fillId="0" borderId="0" xfId="0" applyFont="1"/>
    <xf numFmtId="0" fontId="0" fillId="0" borderId="0" xfId="0" applyFont="1" applyFill="1"/>
    <xf numFmtId="0" fontId="0" fillId="0" borderId="17" xfId="0" applyFill="1" applyBorder="1"/>
    <xf numFmtId="169" fontId="0" fillId="0" borderId="0" xfId="0" applyNumberFormat="1"/>
    <xf numFmtId="0" fontId="3" fillId="0" borderId="0" xfId="0" applyFont="1" applyFill="1"/>
    <xf numFmtId="0" fontId="0" fillId="0" borderId="0" xfId="0" applyFont="1" applyAlignment="1">
      <alignment horizontal="right"/>
    </xf>
    <xf numFmtId="165" fontId="0" fillId="0" borderId="0" xfId="0" applyNumberFormat="1" applyAlignment="1">
      <alignment horizontal="right"/>
    </xf>
    <xf numFmtId="3" fontId="0" fillId="0" borderId="0" xfId="0" applyNumberFormat="1" applyFill="1" applyBorder="1"/>
    <xf numFmtId="42" fontId="0" fillId="0" borderId="0" xfId="0" applyNumberFormat="1" applyFont="1" applyFill="1"/>
    <xf numFmtId="9" fontId="3" fillId="0" borderId="0" xfId="0" applyNumberFormat="1" applyFont="1" applyFill="1"/>
    <xf numFmtId="42" fontId="3" fillId="0" borderId="0" xfId="0" applyNumberFormat="1" applyFont="1"/>
    <xf numFmtId="42" fontId="0" fillId="0" borderId="0" xfId="0" applyNumberFormat="1" applyFont="1"/>
    <xf numFmtId="166" fontId="3" fillId="0" borderId="0" xfId="0" applyNumberFormat="1" applyFont="1" applyFill="1"/>
    <xf numFmtId="0" fontId="5" fillId="0" borderId="0" xfId="0" applyFont="1" applyBorder="1" applyAlignment="1">
      <alignment vertical="top" wrapText="1"/>
    </xf>
    <xf numFmtId="49" fontId="3" fillId="0" borderId="0" xfId="0" applyNumberFormat="1" applyFont="1" applyFill="1" applyAlignment="1">
      <alignment horizontal="left"/>
    </xf>
    <xf numFmtId="1" fontId="3" fillId="0" borderId="0" xfId="0" applyNumberFormat="1" applyFont="1"/>
    <xf numFmtId="37" fontId="3" fillId="0" borderId="0" xfId="0" applyNumberFormat="1" applyFont="1"/>
    <xf numFmtId="0" fontId="3" fillId="0" borderId="0" xfId="0" applyFont="1" applyAlignment="1">
      <alignment horizontal="right"/>
    </xf>
    <xf numFmtId="0" fontId="32" fillId="0" borderId="0" xfId="0" applyFont="1"/>
    <xf numFmtId="0" fontId="32" fillId="0" borderId="0" xfId="0" applyFont="1" applyAlignment="1">
      <alignment horizontal="left"/>
    </xf>
    <xf numFmtId="0" fontId="5" fillId="0" borderId="17" xfId="0" applyFont="1" applyBorder="1" applyAlignment="1">
      <alignment vertical="top" wrapText="1"/>
    </xf>
    <xf numFmtId="0" fontId="27" fillId="0" borderId="17" xfId="0" applyFont="1" applyFill="1" applyBorder="1" applyAlignment="1">
      <alignment vertical="top"/>
    </xf>
    <xf numFmtId="168" fontId="0" fillId="0" borderId="0" xfId="0" applyNumberFormat="1" applyAlignment="1">
      <alignment horizontal="right"/>
    </xf>
    <xf numFmtId="9" fontId="0" fillId="0" borderId="0" xfId="0" applyNumberFormat="1" applyFont="1"/>
    <xf numFmtId="42" fontId="0" fillId="0" borderId="17" xfId="0" applyNumberFormat="1" applyBorder="1"/>
    <xf numFmtId="42" fontId="0" fillId="0" borderId="0" xfId="133" applyNumberFormat="1" applyFont="1"/>
    <xf numFmtId="9" fontId="28" fillId="0" borderId="0" xfId="0" applyNumberFormat="1" applyFont="1" applyBorder="1"/>
    <xf numFmtId="42" fontId="0" fillId="0" borderId="17" xfId="133" applyNumberFormat="1" applyFont="1" applyBorder="1"/>
    <xf numFmtId="165" fontId="0" fillId="0" borderId="0" xfId="0" applyNumberFormat="1" applyFont="1"/>
    <xf numFmtId="0" fontId="0" fillId="0" borderId="17" xfId="0" applyFont="1" applyFill="1" applyBorder="1"/>
    <xf numFmtId="169" fontId="0" fillId="0" borderId="0" xfId="133" applyNumberFormat="1" applyFont="1"/>
    <xf numFmtId="169" fontId="0" fillId="0" borderId="17" xfId="133" applyNumberFormat="1" applyFont="1" applyBorder="1"/>
    <xf numFmtId="3" fontId="29" fillId="0" borderId="0" xfId="0" applyNumberFormat="1" applyFont="1"/>
    <xf numFmtId="0" fontId="33" fillId="0" borderId="0" xfId="134"/>
    <xf numFmtId="1" fontId="0" fillId="0" borderId="0" xfId="0" applyNumberFormat="1" applyFill="1"/>
    <xf numFmtId="9" fontId="3" fillId="0" borderId="0" xfId="0" applyNumberFormat="1" applyFont="1"/>
    <xf numFmtId="0" fontId="4" fillId="25" borderId="11" xfId="3" applyFill="1" applyBorder="1"/>
    <xf numFmtId="0" fontId="4" fillId="0" borderId="0" xfId="3" applyBorder="1"/>
    <xf numFmtId="0" fontId="4" fillId="0" borderId="0" xfId="3"/>
    <xf numFmtId="0" fontId="4" fillId="0" borderId="0" xfId="3" applyFont="1" applyAlignment="1">
      <alignment wrapText="1"/>
    </xf>
    <xf numFmtId="0" fontId="23" fillId="0" borderId="0" xfId="3" applyFont="1" applyBorder="1"/>
    <xf numFmtId="0" fontId="23" fillId="0" borderId="0" xfId="3" applyFont="1"/>
    <xf numFmtId="0" fontId="35" fillId="0" borderId="0" xfId="3" applyFont="1"/>
    <xf numFmtId="0" fontId="4" fillId="0" borderId="0" xfId="3" applyBorder="1" applyAlignment="1">
      <alignment horizontal="left"/>
    </xf>
    <xf numFmtId="0" fontId="4" fillId="0" borderId="0" xfId="3" applyFill="1" applyBorder="1" applyAlignment="1">
      <alignment horizontal="left"/>
    </xf>
    <xf numFmtId="0" fontId="35" fillId="0" borderId="0" xfId="3" applyFont="1" applyBorder="1"/>
    <xf numFmtId="167" fontId="4" fillId="0" borderId="0" xfId="3" applyNumberFormat="1" applyBorder="1"/>
    <xf numFmtId="9" fontId="4" fillId="26" borderId="12" xfId="3" applyNumberFormat="1" applyFill="1" applyBorder="1"/>
    <xf numFmtId="172" fontId="4" fillId="0" borderId="0" xfId="3" applyNumberFormat="1"/>
    <xf numFmtId="166" fontId="4" fillId="0" borderId="0" xfId="3" applyNumberFormat="1"/>
    <xf numFmtId="3" fontId="4" fillId="0" borderId="0" xfId="3" applyNumberFormat="1"/>
    <xf numFmtId="0" fontId="28" fillId="0" borderId="0" xfId="0" applyFont="1" applyFill="1" applyBorder="1"/>
    <xf numFmtId="166" fontId="4" fillId="26" borderId="12" xfId="3" applyNumberFormat="1" applyFont="1" applyFill="1" applyBorder="1" applyAlignment="1">
      <alignment horizontal="right"/>
    </xf>
    <xf numFmtId="166" fontId="4" fillId="26" borderId="12" xfId="3" applyNumberFormat="1" applyFont="1" applyFill="1" applyBorder="1"/>
    <xf numFmtId="3" fontId="4" fillId="0" borderId="0" xfId="3" applyNumberFormat="1" applyBorder="1"/>
    <xf numFmtId="174" fontId="4" fillId="0" borderId="0" xfId="3" applyNumberFormat="1"/>
    <xf numFmtId="44" fontId="3" fillId="0" borderId="0" xfId="0" applyNumberFormat="1" applyFont="1"/>
    <xf numFmtId="169" fontId="3" fillId="0" borderId="0" xfId="0" applyNumberFormat="1" applyFont="1"/>
    <xf numFmtId="44" fontId="0" fillId="0" borderId="0" xfId="0" applyNumberFormat="1" applyFont="1"/>
    <xf numFmtId="175" fontId="3" fillId="0" borderId="0" xfId="0" applyNumberFormat="1" applyFont="1"/>
    <xf numFmtId="175" fontId="0" fillId="0" borderId="0" xfId="0" applyNumberFormat="1" applyFont="1"/>
    <xf numFmtId="0" fontId="25" fillId="25" borderId="11" xfId="3" applyFont="1" applyFill="1" applyBorder="1"/>
    <xf numFmtId="0" fontId="4" fillId="25" borderId="11" xfId="3" applyFill="1" applyBorder="1"/>
    <xf numFmtId="0" fontId="4" fillId="0" borderId="0" xfId="3" applyBorder="1"/>
    <xf numFmtId="0" fontId="4" fillId="0" borderId="0" xfId="3"/>
    <xf numFmtId="0" fontId="23" fillId="0" borderId="0" xfId="3" applyFont="1" applyBorder="1"/>
    <xf numFmtId="0" fontId="31" fillId="0" borderId="0" xfId="3" applyFont="1" applyBorder="1"/>
    <xf numFmtId="0" fontId="37" fillId="0" borderId="0" xfId="3" applyFont="1" applyBorder="1"/>
    <xf numFmtId="0" fontId="4" fillId="0" borderId="17" xfId="3" applyBorder="1"/>
    <xf numFmtId="0" fontId="38" fillId="0" borderId="0" xfId="3" applyFont="1" applyBorder="1"/>
    <xf numFmtId="172" fontId="4" fillId="0" borderId="12" xfId="3" applyNumberFormat="1" applyBorder="1"/>
    <xf numFmtId="0" fontId="36" fillId="0" borderId="0" xfId="3" applyFont="1" applyBorder="1"/>
    <xf numFmtId="0" fontId="4" fillId="0" borderId="11" xfId="3" applyBorder="1"/>
    <xf numFmtId="0" fontId="4" fillId="0" borderId="0" xfId="3" applyFill="1" applyBorder="1"/>
    <xf numFmtId="0" fontId="4" fillId="0" borderId="17" xfId="3" applyBorder="1" applyAlignment="1">
      <alignment horizontal="right"/>
    </xf>
    <xf numFmtId="0" fontId="4" fillId="0" borderId="10" xfId="3" applyFont="1" applyBorder="1"/>
    <xf numFmtId="0" fontId="4" fillId="0" borderId="13" xfId="3" applyBorder="1"/>
    <xf numFmtId="172" fontId="4" fillId="0" borderId="13" xfId="3" applyNumberFormat="1" applyBorder="1"/>
    <xf numFmtId="0" fontId="4" fillId="0" borderId="0" xfId="3" applyBorder="1" applyAlignment="1">
      <alignment horizontal="left"/>
    </xf>
    <xf numFmtId="0" fontId="4" fillId="0" borderId="10" xfId="3" applyBorder="1"/>
    <xf numFmtId="3" fontId="4" fillId="0" borderId="13" xfId="3" applyNumberFormat="1" applyBorder="1"/>
    <xf numFmtId="3" fontId="4" fillId="0" borderId="12" xfId="3" applyNumberFormat="1" applyBorder="1"/>
    <xf numFmtId="0" fontId="37" fillId="0" borderId="0" xfId="3" applyFont="1" applyFill="1" applyBorder="1"/>
    <xf numFmtId="3" fontId="4" fillId="0" borderId="13" xfId="3" applyNumberFormat="1" applyFont="1" applyBorder="1"/>
    <xf numFmtId="3" fontId="4" fillId="0" borderId="12" xfId="3" applyNumberFormat="1" applyFont="1" applyBorder="1"/>
    <xf numFmtId="3" fontId="4" fillId="0" borderId="0" xfId="3" applyNumberFormat="1" applyBorder="1"/>
    <xf numFmtId="0" fontId="3" fillId="0" borderId="0" xfId="0" applyFont="1" applyBorder="1" applyAlignment="1">
      <alignment horizontal="left"/>
    </xf>
    <xf numFmtId="0" fontId="3" fillId="0" borderId="0" xfId="0" applyFont="1" applyBorder="1" applyAlignment="1"/>
    <xf numFmtId="3" fontId="0" fillId="0" borderId="0" xfId="0" applyNumberFormat="1"/>
    <xf numFmtId="42" fontId="0" fillId="0" borderId="0" xfId="0" applyNumberFormat="1" applyFill="1"/>
    <xf numFmtId="169" fontId="0" fillId="0" borderId="0" xfId="133" applyNumberFormat="1" applyFont="1" applyFill="1"/>
    <xf numFmtId="42" fontId="39" fillId="0" borderId="0" xfId="133" applyNumberFormat="1" applyFont="1" applyBorder="1"/>
    <xf numFmtId="44" fontId="39" fillId="0" borderId="0" xfId="0" applyNumberFormat="1" applyFont="1" applyBorder="1"/>
    <xf numFmtId="9" fontId="0" fillId="0" borderId="0" xfId="0" applyNumberFormat="1" applyFont="1" applyBorder="1"/>
    <xf numFmtId="0" fontId="27" fillId="0" borderId="17" xfId="0" applyFont="1" applyFill="1" applyBorder="1" applyAlignment="1">
      <alignment vertical="top" wrapText="1"/>
    </xf>
    <xf numFmtId="9" fontId="0" fillId="0" borderId="0" xfId="0" applyNumberFormat="1" applyFill="1"/>
    <xf numFmtId="169" fontId="0" fillId="0" borderId="17" xfId="0" applyNumberFormat="1" applyBorder="1"/>
    <xf numFmtId="42" fontId="39" fillId="0" borderId="0" xfId="0" applyNumberFormat="1" applyFont="1" applyBorder="1"/>
    <xf numFmtId="5" fontId="39" fillId="0" borderId="0" xfId="0" applyNumberFormat="1" applyFont="1" applyBorder="1"/>
    <xf numFmtId="165" fontId="0" fillId="0" borderId="0" xfId="0" applyNumberFormat="1"/>
    <xf numFmtId="0" fontId="3" fillId="0" borderId="0" xfId="0" applyFont="1"/>
    <xf numFmtId="9" fontId="0" fillId="0" borderId="0" xfId="0" applyNumberFormat="1"/>
    <xf numFmtId="0" fontId="0" fillId="0" borderId="0" xfId="0" applyAlignment="1">
      <alignment horizontal="right"/>
    </xf>
    <xf numFmtId="0" fontId="0" fillId="0" borderId="0" xfId="0" applyBorder="1"/>
    <xf numFmtId="0" fontId="0" fillId="0" borderId="0" xfId="0" applyFill="1" applyBorder="1"/>
    <xf numFmtId="3" fontId="0" fillId="0" borderId="0" xfId="0" applyNumberFormat="1"/>
    <xf numFmtId="0" fontId="0" fillId="0" borderId="17" xfId="0" applyBorder="1"/>
    <xf numFmtId="165" fontId="0" fillId="0" borderId="17" xfId="0" applyNumberFormat="1" applyBorder="1"/>
    <xf numFmtId="0" fontId="0" fillId="24" borderId="0" xfId="0" applyFill="1" applyBorder="1"/>
    <xf numFmtId="0" fontId="0" fillId="0" borderId="17" xfId="0" applyFont="1" applyBorder="1"/>
    <xf numFmtId="165" fontId="0" fillId="0" borderId="0" xfId="0" applyNumberFormat="1" applyBorder="1"/>
    <xf numFmtId="0" fontId="4" fillId="0" borderId="0" xfId="3" applyBorder="1"/>
    <xf numFmtId="0" fontId="4" fillId="0" borderId="0" xfId="3"/>
    <xf numFmtId="0" fontId="4" fillId="0" borderId="0" xfId="3" applyFont="1" applyAlignment="1">
      <alignment wrapText="1"/>
    </xf>
    <xf numFmtId="169" fontId="0" fillId="0" borderId="0" xfId="133" applyNumberFormat="1" applyFont="1"/>
    <xf numFmtId="0" fontId="0" fillId="0" borderId="0" xfId="0" applyFill="1" applyBorder="1" applyAlignment="1">
      <alignment horizontal="right"/>
    </xf>
    <xf numFmtId="169" fontId="0" fillId="0" borderId="0" xfId="133" applyNumberFormat="1" applyFont="1" applyFill="1" applyBorder="1"/>
    <xf numFmtId="169" fontId="0" fillId="0" borderId="17" xfId="133" applyNumberFormat="1" applyFont="1" applyFill="1" applyBorder="1"/>
    <xf numFmtId="0" fontId="0" fillId="0" borderId="0" xfId="0" applyBorder="1" applyAlignment="1">
      <alignment vertical="center"/>
    </xf>
    <xf numFmtId="0" fontId="0" fillId="0" borderId="0" xfId="0" applyBorder="1" applyAlignment="1">
      <alignment horizontal="left" vertical="center"/>
    </xf>
    <xf numFmtId="169" fontId="0" fillId="0" borderId="0" xfId="133" applyNumberFormat="1" applyFont="1" applyBorder="1"/>
    <xf numFmtId="169" fontId="0" fillId="0" borderId="20" xfId="133" applyNumberFormat="1" applyFont="1" applyBorder="1"/>
    <xf numFmtId="0" fontId="29" fillId="0" borderId="0" xfId="0" applyNumberFormat="1" applyFont="1" applyFill="1" applyBorder="1" applyAlignment="1" applyProtection="1">
      <alignment horizontal="left" vertical="top" wrapText="1"/>
    </xf>
    <xf numFmtId="169" fontId="29" fillId="0" borderId="0" xfId="133" applyNumberFormat="1" applyFont="1" applyFill="1" applyBorder="1" applyAlignment="1" applyProtection="1">
      <protection locked="0"/>
    </xf>
    <xf numFmtId="0" fontId="0" fillId="0" borderId="0" xfId="0" applyFill="1" applyBorder="1" applyAlignment="1">
      <alignment vertical="center"/>
    </xf>
    <xf numFmtId="0" fontId="0" fillId="0" borderId="0" xfId="0" applyFill="1" applyBorder="1" applyAlignment="1">
      <alignment horizontal="left" vertical="center"/>
    </xf>
    <xf numFmtId="9" fontId="0" fillId="0" borderId="0" xfId="0" applyNumberFormat="1" applyFill="1" applyBorder="1"/>
    <xf numFmtId="0" fontId="28" fillId="0" borderId="17" xfId="0" applyFont="1" applyFill="1" applyBorder="1" applyAlignment="1"/>
    <xf numFmtId="0" fontId="28" fillId="0" borderId="0" xfId="0" applyFont="1" applyBorder="1"/>
    <xf numFmtId="0" fontId="40" fillId="0" borderId="0" xfId="0" applyFont="1" applyFill="1" applyBorder="1" applyAlignment="1">
      <alignment horizontal="center"/>
    </xf>
    <xf numFmtId="0" fontId="28" fillId="27" borderId="18" xfId="0" applyFont="1" applyFill="1" applyBorder="1" applyAlignment="1"/>
    <xf numFmtId="165" fontId="28" fillId="0" borderId="0" xfId="0" applyNumberFormat="1" applyFont="1" applyBorder="1"/>
    <xf numFmtId="0" fontId="28" fillId="27" borderId="15" xfId="0" applyFont="1" applyFill="1" applyBorder="1" applyAlignment="1"/>
    <xf numFmtId="3" fontId="28" fillId="0" borderId="12" xfId="0" applyNumberFormat="1" applyFont="1" applyBorder="1"/>
    <xf numFmtId="9" fontId="23" fillId="0" borderId="12" xfId="2" applyFont="1" applyFill="1" applyBorder="1" applyAlignment="1">
      <alignment horizontal="center"/>
    </xf>
    <xf numFmtId="0" fontId="40" fillId="0" borderId="0" xfId="0" applyFont="1" applyFill="1" applyBorder="1" applyAlignment="1">
      <alignment horizontal="center" wrapText="1"/>
    </xf>
    <xf numFmtId="0" fontId="0" fillId="0" borderId="0" xfId="0"/>
    <xf numFmtId="0" fontId="0" fillId="0" borderId="0" xfId="0" applyFill="1" applyBorder="1"/>
    <xf numFmtId="0" fontId="28" fillId="0" borderId="10" xfId="0" applyFont="1" applyBorder="1"/>
    <xf numFmtId="165" fontId="28" fillId="0" borderId="12" xfId="0" applyNumberFormat="1" applyFont="1" applyBorder="1"/>
    <xf numFmtId="0" fontId="0" fillId="0" borderId="0" xfId="0"/>
    <xf numFmtId="165" fontId="28" fillId="0" borderId="12" xfId="0" applyNumberFormat="1" applyFont="1" applyBorder="1"/>
    <xf numFmtId="0" fontId="0" fillId="0" borderId="0" xfId="0"/>
    <xf numFmtId="0" fontId="0" fillId="0" borderId="12" xfId="0" applyBorder="1"/>
    <xf numFmtId="167" fontId="0" fillId="0" borderId="12" xfId="0" applyNumberFormat="1" applyBorder="1"/>
    <xf numFmtId="0" fontId="28" fillId="0" borderId="10" xfId="0" applyFont="1" applyBorder="1"/>
    <xf numFmtId="166" fontId="28" fillId="0" borderId="12" xfId="0" applyNumberFormat="1" applyFont="1" applyBorder="1"/>
    <xf numFmtId="170" fontId="28" fillId="0" borderId="12" xfId="0" applyNumberFormat="1" applyFont="1" applyBorder="1"/>
    <xf numFmtId="0" fontId="40" fillId="27" borderId="18" xfId="0" applyFont="1" applyFill="1" applyBorder="1" applyAlignment="1">
      <alignment horizontal="center"/>
    </xf>
    <xf numFmtId="0" fontId="40" fillId="27" borderId="12" xfId="0" applyFont="1" applyFill="1" applyBorder="1" applyAlignment="1">
      <alignment horizontal="center"/>
    </xf>
    <xf numFmtId="0" fontId="40" fillId="27" borderId="15" xfId="0" applyFont="1" applyFill="1" applyBorder="1" applyAlignment="1">
      <alignment horizontal="center"/>
    </xf>
    <xf numFmtId="0" fontId="28" fillId="0" borderId="10" xfId="0" applyFont="1" applyBorder="1"/>
    <xf numFmtId="165" fontId="28" fillId="0" borderId="12" xfId="0" applyNumberFormat="1" applyFont="1" applyBorder="1"/>
    <xf numFmtId="0" fontId="28" fillId="0" borderId="10" xfId="0" applyFont="1" applyBorder="1"/>
    <xf numFmtId="165" fontId="28" fillId="0" borderId="12" xfId="0" applyNumberFormat="1" applyFont="1" applyBorder="1"/>
    <xf numFmtId="166" fontId="0" fillId="0" borderId="0" xfId="0" applyNumberFormat="1"/>
    <xf numFmtId="0" fontId="0" fillId="0" borderId="12" xfId="0" applyBorder="1"/>
    <xf numFmtId="166" fontId="28" fillId="0" borderId="12" xfId="0" applyNumberFormat="1" applyFont="1" applyBorder="1"/>
    <xf numFmtId="0" fontId="28" fillId="0" borderId="12" xfId="0" applyFont="1" applyBorder="1"/>
    <xf numFmtId="167" fontId="28" fillId="0" borderId="12" xfId="0" applyNumberFormat="1" applyFont="1" applyBorder="1"/>
    <xf numFmtId="0" fontId="0" fillId="0" borderId="10" xfId="0" applyBorder="1"/>
    <xf numFmtId="0" fontId="0" fillId="0" borderId="13" xfId="0" applyBorder="1"/>
    <xf numFmtId="0" fontId="40" fillId="27" borderId="12" xfId="0" applyFont="1" applyFill="1" applyBorder="1" applyAlignment="1">
      <alignment horizontal="center"/>
    </xf>
    <xf numFmtId="0" fontId="0" fillId="0" borderId="0" xfId="0"/>
    <xf numFmtId="0" fontId="28" fillId="0" borderId="0" xfId="0" applyFont="1" applyFill="1" applyBorder="1"/>
    <xf numFmtId="0" fontId="0" fillId="0" borderId="12" xfId="0" applyBorder="1"/>
    <xf numFmtId="166" fontId="28" fillId="0" borderId="12" xfId="0" applyNumberFormat="1" applyFont="1" applyBorder="1"/>
    <xf numFmtId="0" fontId="28" fillId="0" borderId="12" xfId="0" applyFont="1" applyBorder="1"/>
    <xf numFmtId="167" fontId="28" fillId="0" borderId="12" xfId="0" applyNumberFormat="1" applyFont="1" applyBorder="1"/>
    <xf numFmtId="0" fontId="0" fillId="0" borderId="10" xfId="0" applyBorder="1"/>
    <xf numFmtId="0" fontId="0" fillId="0" borderId="13" xfId="0" applyBorder="1"/>
    <xf numFmtId="0" fontId="40" fillId="27" borderId="18" xfId="0" applyFont="1" applyFill="1" applyBorder="1" applyAlignment="1">
      <alignment horizontal="center"/>
    </xf>
    <xf numFmtId="0" fontId="40" fillId="27" borderId="12" xfId="0" applyFont="1" applyFill="1" applyBorder="1" applyAlignment="1">
      <alignment horizontal="center"/>
    </xf>
    <xf numFmtId="0" fontId="0" fillId="0" borderId="0" xfId="0"/>
    <xf numFmtId="2" fontId="0" fillId="0" borderId="0" xfId="0" applyNumberFormat="1"/>
    <xf numFmtId="0" fontId="23" fillId="0" borderId="12" xfId="55" applyFont="1" applyBorder="1"/>
    <xf numFmtId="0" fontId="4" fillId="0" borderId="12" xfId="55" applyFill="1" applyBorder="1"/>
    <xf numFmtId="9" fontId="4" fillId="0" borderId="12" xfId="2" applyBorder="1"/>
    <xf numFmtId="170" fontId="4" fillId="0" borderId="12" xfId="55" applyNumberFormat="1" applyFill="1" applyBorder="1"/>
    <xf numFmtId="0" fontId="0" fillId="0" borderId="0" xfId="0"/>
    <xf numFmtId="0" fontId="0" fillId="0" borderId="0" xfId="0" applyFill="1"/>
    <xf numFmtId="0" fontId="23" fillId="0" borderId="12" xfId="55" applyFont="1" applyFill="1" applyBorder="1" applyAlignment="1">
      <alignment horizontal="center"/>
    </xf>
    <xf numFmtId="0" fontId="23" fillId="0" borderId="12" xfId="55" applyFont="1" applyBorder="1" applyAlignment="1">
      <alignment horizontal="center"/>
    </xf>
    <xf numFmtId="4" fontId="23" fillId="0" borderId="12" xfId="55" applyNumberFormat="1" applyFont="1" applyBorder="1" applyAlignment="1">
      <alignment horizontal="center"/>
    </xf>
    <xf numFmtId="169" fontId="29" fillId="0" borderId="0" xfId="133" applyNumberFormat="1" applyFont="1" applyFill="1" applyBorder="1"/>
    <xf numFmtId="10" fontId="29" fillId="0" borderId="0" xfId="0" applyNumberFormat="1" applyFont="1" applyFill="1" applyBorder="1"/>
    <xf numFmtId="3" fontId="29" fillId="0" borderId="0" xfId="0" applyNumberFormat="1" applyFont="1" applyFill="1" applyBorder="1"/>
    <xf numFmtId="3" fontId="28" fillId="0" borderId="0" xfId="0" applyNumberFormat="1" applyFont="1" applyBorder="1"/>
    <xf numFmtId="0" fontId="40" fillId="27" borderId="15" xfId="0" applyFont="1" applyFill="1" applyBorder="1" applyAlignment="1">
      <alignment horizontal="center"/>
    </xf>
    <xf numFmtId="0" fontId="0" fillId="0" borderId="0" xfId="0" applyFill="1" applyBorder="1" applyAlignment="1">
      <alignment horizontal="center"/>
    </xf>
    <xf numFmtId="0" fontId="41" fillId="0" borderId="0" xfId="0" applyFont="1" applyBorder="1" applyAlignment="1">
      <alignment vertical="top" wrapText="1"/>
    </xf>
    <xf numFmtId="169" fontId="2" fillId="0" borderId="0" xfId="133" applyNumberFormat="1" applyFont="1" applyFill="1" applyBorder="1"/>
    <xf numFmtId="3"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0" fillId="0" borderId="0" xfId="0" applyFill="1" applyBorder="1" applyAlignment="1">
      <alignment horizontal="center"/>
    </xf>
    <xf numFmtId="0" fontId="5" fillId="0" borderId="0" xfId="0" applyFont="1" applyFill="1" applyBorder="1" applyAlignment="1">
      <alignment horizontal="center" vertical="top" wrapText="1"/>
    </xf>
    <xf numFmtId="42" fontId="30" fillId="0" borderId="0" xfId="0" applyNumberFormat="1" applyFont="1"/>
    <xf numFmtId="1" fontId="30" fillId="0" borderId="0" xfId="0" applyNumberFormat="1" applyFont="1" applyAlignment="1">
      <alignment horizontal="center"/>
    </xf>
    <xf numFmtId="42" fontId="30" fillId="0" borderId="0" xfId="0" applyNumberFormat="1" applyFont="1" applyFill="1"/>
    <xf numFmtId="167" fontId="30" fillId="0" borderId="0" xfId="0" applyNumberFormat="1" applyFont="1" applyFill="1"/>
    <xf numFmtId="0" fontId="5" fillId="0" borderId="0" xfId="0" applyFont="1" applyFill="1" applyBorder="1" applyAlignment="1">
      <alignment horizontal="right" vertical="top" wrapText="1"/>
    </xf>
    <xf numFmtId="0" fontId="27" fillId="0" borderId="17" xfId="0" applyFont="1" applyBorder="1" applyAlignment="1">
      <alignment vertical="top" wrapText="1"/>
    </xf>
    <xf numFmtId="3" fontId="0" fillId="0" borderId="17" xfId="0" applyNumberFormat="1" applyFill="1" applyBorder="1"/>
    <xf numFmtId="0" fontId="40" fillId="27" borderId="12" xfId="0" applyFont="1" applyFill="1" applyBorder="1" applyAlignment="1">
      <alignment horizontal="right"/>
    </xf>
    <xf numFmtId="0" fontId="40" fillId="27" borderId="10" xfId="0" applyFont="1" applyFill="1" applyBorder="1" applyAlignment="1">
      <alignment horizontal="right"/>
    </xf>
    <xf numFmtId="0" fontId="40" fillId="27" borderId="10" xfId="0" applyFont="1" applyFill="1" applyBorder="1" applyAlignment="1">
      <alignment horizontal="right" wrapText="1"/>
    </xf>
    <xf numFmtId="0" fontId="3" fillId="0" borderId="0" xfId="0" applyNumberFormat="1" applyFont="1" applyFill="1" applyBorder="1" applyAlignment="1" applyProtection="1"/>
    <xf numFmtId="42" fontId="0" fillId="0" borderId="17" xfId="133" applyNumberFormat="1" applyFont="1" applyFill="1" applyBorder="1"/>
    <xf numFmtId="173" fontId="0" fillId="0" borderId="0" xfId="133" applyNumberFormat="1" applyFont="1" applyFill="1" applyBorder="1"/>
    <xf numFmtId="0" fontId="0" fillId="0" borderId="0" xfId="0" applyNumberFormat="1" applyBorder="1"/>
    <xf numFmtId="0" fontId="3" fillId="0" borderId="0" xfId="0" applyFont="1" applyFill="1" applyBorder="1"/>
    <xf numFmtId="165" fontId="0" fillId="0" borderId="0" xfId="133" applyNumberFormat="1" applyFont="1" applyFill="1"/>
    <xf numFmtId="0" fontId="0" fillId="0" borderId="0" xfId="0"/>
    <xf numFmtId="0" fontId="0" fillId="0" borderId="17" xfId="0" applyBorder="1"/>
    <xf numFmtId="0" fontId="0" fillId="0" borderId="0" xfId="0" applyFill="1"/>
    <xf numFmtId="165" fontId="0" fillId="0" borderId="0" xfId="0" applyNumberFormat="1"/>
    <xf numFmtId="165" fontId="0" fillId="0" borderId="17" xfId="0" applyNumberFormat="1" applyBorder="1"/>
    <xf numFmtId="0" fontId="0" fillId="0" borderId="0" xfId="0" applyFont="1" applyFill="1" applyBorder="1"/>
    <xf numFmtId="165" fontId="0" fillId="0" borderId="0" xfId="0" applyNumberFormat="1" applyFill="1"/>
    <xf numFmtId="0" fontId="0" fillId="0" borderId="0" xfId="0"/>
    <xf numFmtId="0" fontId="0" fillId="0" borderId="0" xfId="0" applyFill="1"/>
    <xf numFmtId="0" fontId="42" fillId="0" borderId="0" xfId="0" applyFont="1"/>
    <xf numFmtId="0" fontId="3" fillId="0" borderId="0" xfId="0" applyFont="1"/>
    <xf numFmtId="42" fontId="0" fillId="0" borderId="0" xfId="0" applyNumberFormat="1" applyFill="1"/>
    <xf numFmtId="0" fontId="0" fillId="0" borderId="0" xfId="0"/>
    <xf numFmtId="0" fontId="0" fillId="0" borderId="0" xfId="0"/>
    <xf numFmtId="0" fontId="0" fillId="0" borderId="0" xfId="0"/>
    <xf numFmtId="0" fontId="3" fillId="0" borderId="0" xfId="0" applyFont="1"/>
    <xf numFmtId="0" fontId="0" fillId="0" borderId="0" xfId="0"/>
    <xf numFmtId="42" fontId="0" fillId="0" borderId="0" xfId="0" applyNumberFormat="1"/>
    <xf numFmtId="0" fontId="0" fillId="0" borderId="0" xfId="0"/>
    <xf numFmtId="42" fontId="0" fillId="0" borderId="0" xfId="0" applyNumberFormat="1" applyFill="1"/>
    <xf numFmtId="42" fontId="0" fillId="0" borderId="0" xfId="0" applyNumberFormat="1"/>
    <xf numFmtId="0" fontId="3" fillId="0" borderId="0" xfId="0" applyFont="1"/>
    <xf numFmtId="167" fontId="0" fillId="0" borderId="0" xfId="0" applyNumberFormat="1"/>
    <xf numFmtId="0" fontId="0" fillId="0" borderId="0" xfId="0"/>
    <xf numFmtId="42" fontId="0" fillId="0" borderId="0" xfId="0" applyNumberFormat="1" applyFill="1"/>
    <xf numFmtId="42" fontId="0" fillId="0" borderId="0" xfId="0" applyNumberFormat="1"/>
    <xf numFmtId="0" fontId="3" fillId="0" borderId="0" xfId="0" applyFont="1"/>
    <xf numFmtId="167" fontId="0" fillId="0" borderId="0" xfId="0" applyNumberFormat="1"/>
    <xf numFmtId="0" fontId="0" fillId="0" borderId="0" xfId="0"/>
    <xf numFmtId="0" fontId="0" fillId="0" borderId="0" xfId="0" applyFont="1"/>
    <xf numFmtId="0" fontId="0" fillId="0" borderId="0" xfId="0"/>
    <xf numFmtId="0" fontId="0" fillId="0" borderId="0" xfId="0"/>
    <xf numFmtId="9" fontId="29" fillId="0" borderId="0" xfId="0" applyNumberFormat="1" applyFont="1"/>
    <xf numFmtId="165" fontId="29" fillId="0" borderId="0" xfId="0" applyNumberFormat="1" applyFont="1" applyFill="1"/>
    <xf numFmtId="0" fontId="29" fillId="0" borderId="17" xfId="0" applyFont="1" applyBorder="1"/>
    <xf numFmtId="168" fontId="29" fillId="0" borderId="0" xfId="0" applyNumberFormat="1" applyFont="1"/>
    <xf numFmtId="165" fontId="28" fillId="0" borderId="0" xfId="0" applyNumberFormat="1" applyFont="1" applyFill="1" applyBorder="1"/>
    <xf numFmtId="170" fontId="28" fillId="0" borderId="0" xfId="0" applyNumberFormat="1" applyFont="1" applyFill="1" applyBorder="1" applyAlignment="1">
      <alignment horizontal="right"/>
    </xf>
    <xf numFmtId="165" fontId="29" fillId="0" borderId="17" xfId="0" applyNumberFormat="1" applyFont="1" applyBorder="1"/>
    <xf numFmtId="0" fontId="24" fillId="0" borderId="0" xfId="0" applyFont="1" applyFill="1" applyBorder="1" applyAlignment="1">
      <alignment horizontal="right"/>
    </xf>
    <xf numFmtId="1" fontId="29" fillId="0" borderId="0" xfId="0" applyNumberFormat="1" applyFont="1" applyBorder="1"/>
    <xf numFmtId="3" fontId="4" fillId="0" borderId="0" xfId="0" applyNumberFormat="1" applyFont="1" applyFill="1" applyBorder="1" applyAlignment="1">
      <alignment horizontal="right"/>
    </xf>
    <xf numFmtId="0" fontId="29" fillId="0" borderId="0" xfId="0" applyFont="1" applyAlignment="1">
      <alignment horizontal="right"/>
    </xf>
    <xf numFmtId="167" fontId="28" fillId="0" borderId="0" xfId="0" applyNumberFormat="1" applyFont="1" applyFill="1" applyBorder="1" applyAlignment="1">
      <alignment horizontal="right"/>
    </xf>
    <xf numFmtId="0" fontId="28" fillId="0" borderId="0" xfId="0" applyFont="1" applyFill="1" applyBorder="1" applyAlignment="1">
      <alignment horizontal="right"/>
    </xf>
    <xf numFmtId="0" fontId="22" fillId="0" borderId="0" xfId="0" applyFont="1"/>
    <xf numFmtId="3" fontId="40" fillId="0" borderId="0" xfId="0" applyNumberFormat="1" applyFont="1" applyFill="1" applyBorder="1"/>
    <xf numFmtId="0" fontId="29" fillId="0" borderId="0" xfId="0" applyFont="1" applyAlignment="1">
      <alignment horizontal="left"/>
    </xf>
    <xf numFmtId="0" fontId="40" fillId="0" borderId="0" xfId="0" applyFont="1" applyFill="1" applyBorder="1"/>
    <xf numFmtId="0" fontId="0" fillId="0" borderId="0" xfId="0" applyFill="1" applyBorder="1" applyAlignment="1"/>
    <xf numFmtId="165" fontId="29" fillId="0" borderId="0" xfId="0" applyNumberFormat="1" applyFont="1" applyBorder="1"/>
    <xf numFmtId="166" fontId="4" fillId="0" borderId="0" xfId="3" applyNumberFormat="1" applyFont="1" applyFill="1" applyBorder="1"/>
    <xf numFmtId="0" fontId="29" fillId="0" borderId="0" xfId="0" applyFont="1" applyBorder="1"/>
    <xf numFmtId="0" fontId="29" fillId="0" borderId="0" xfId="0" applyFont="1" applyFill="1"/>
    <xf numFmtId="168" fontId="29" fillId="0" borderId="0" xfId="0" applyNumberFormat="1" applyFont="1" applyAlignment="1">
      <alignment horizontal="right"/>
    </xf>
    <xf numFmtId="165" fontId="29" fillId="0" borderId="0" xfId="0" applyNumberFormat="1" applyFont="1"/>
    <xf numFmtId="169" fontId="0" fillId="0" borderId="0" xfId="0" applyNumberFormat="1"/>
    <xf numFmtId="42" fontId="3" fillId="0" borderId="0" xfId="0" applyNumberFormat="1" applyFont="1"/>
    <xf numFmtId="0" fontId="4" fillId="25" borderId="11" xfId="3" applyFill="1" applyBorder="1"/>
    <xf numFmtId="0" fontId="4" fillId="0" borderId="0" xfId="3" applyBorder="1"/>
    <xf numFmtId="0" fontId="4" fillId="0" borderId="0" xfId="3"/>
    <xf numFmtId="0" fontId="4" fillId="0" borderId="0" xfId="3" applyBorder="1" applyAlignment="1">
      <alignment horizontal="left"/>
    </xf>
    <xf numFmtId="0" fontId="4" fillId="0" borderId="0" xfId="3" applyFill="1" applyBorder="1" applyAlignment="1">
      <alignment horizontal="left"/>
    </xf>
    <xf numFmtId="0" fontId="35" fillId="0" borderId="0" xfId="3" applyFont="1" applyBorder="1"/>
    <xf numFmtId="3" fontId="4" fillId="0" borderId="0" xfId="3" applyNumberFormat="1" applyBorder="1"/>
    <xf numFmtId="0" fontId="37" fillId="0" borderId="0" xfId="3" applyFont="1" applyBorder="1"/>
    <xf numFmtId="0" fontId="37" fillId="0" borderId="0" xfId="3" applyFont="1" applyFill="1" applyBorder="1"/>
    <xf numFmtId="0" fontId="0" fillId="0" borderId="0" xfId="0" applyFill="1" applyBorder="1" applyAlignment="1">
      <alignment horizontal="right"/>
    </xf>
    <xf numFmtId="169" fontId="0" fillId="0" borderId="0" xfId="133" applyNumberFormat="1" applyFont="1" applyFill="1" applyBorder="1"/>
    <xf numFmtId="0" fontId="40" fillId="0" borderId="0" xfId="0" applyFont="1" applyFill="1" applyBorder="1" applyAlignment="1">
      <alignment horizontal="center"/>
    </xf>
    <xf numFmtId="3" fontId="5" fillId="0" borderId="0" xfId="0" applyNumberFormat="1" applyFont="1" applyFill="1" applyBorder="1" applyAlignment="1">
      <alignment vertical="top" wrapText="1"/>
    </xf>
    <xf numFmtId="0" fontId="24" fillId="0" borderId="0" xfId="0" applyFont="1" applyFill="1" applyBorder="1"/>
    <xf numFmtId="0" fontId="4" fillId="0" borderId="0" xfId="0" applyFont="1" applyFill="1" applyBorder="1" applyAlignment="1">
      <alignment horizontal="right"/>
    </xf>
    <xf numFmtId="0" fontId="44" fillId="0" borderId="0" xfId="0" applyFont="1" applyBorder="1"/>
    <xf numFmtId="168" fontId="29" fillId="0" borderId="0" xfId="0" applyNumberFormat="1" applyFont="1" applyBorder="1"/>
    <xf numFmtId="0" fontId="29" fillId="0" borderId="0" xfId="0" applyFont="1"/>
    <xf numFmtId="0" fontId="29" fillId="0" borderId="0" xfId="0" applyFont="1"/>
    <xf numFmtId="9" fontId="28" fillId="0" borderId="0" xfId="0" applyNumberFormat="1" applyFont="1" applyFill="1" applyBorder="1"/>
    <xf numFmtId="166" fontId="4" fillId="0" borderId="0" xfId="3" applyNumberFormat="1" applyFont="1" applyFill="1" applyBorder="1" applyAlignment="1">
      <alignment horizontal="right"/>
    </xf>
    <xf numFmtId="3" fontId="40" fillId="0" borderId="0" xfId="0" applyNumberFormat="1" applyFont="1" applyFill="1" applyBorder="1" applyAlignment="1">
      <alignment horizontal="right"/>
    </xf>
    <xf numFmtId="0" fontId="0" fillId="0" borderId="0" xfId="0"/>
    <xf numFmtId="42" fontId="0" fillId="0" borderId="0" xfId="0" applyNumberFormat="1" applyFill="1"/>
    <xf numFmtId="42" fontId="0" fillId="0" borderId="0" xfId="0" applyNumberFormat="1"/>
    <xf numFmtId="0" fontId="29" fillId="0" borderId="0" xfId="0" applyFont="1"/>
    <xf numFmtId="0" fontId="3" fillId="0" borderId="0" xfId="0" applyFont="1"/>
    <xf numFmtId="9" fontId="0" fillId="0" borderId="0" xfId="0" applyNumberFormat="1"/>
    <xf numFmtId="0" fontId="0" fillId="0" borderId="0" xfId="0" applyBorder="1"/>
    <xf numFmtId="0" fontId="0" fillId="0" borderId="0" xfId="0" applyFont="1" applyBorder="1"/>
    <xf numFmtId="0" fontId="0" fillId="0" borderId="0" xfId="0" applyFont="1" applyFill="1" applyBorder="1"/>
    <xf numFmtId="0" fontId="0" fillId="0" borderId="0" xfId="0" applyFont="1" applyBorder="1" applyAlignment="1">
      <alignment horizontal="left"/>
    </xf>
    <xf numFmtId="0" fontId="27" fillId="0" borderId="0" xfId="0" applyFont="1" applyBorder="1" applyAlignment="1">
      <alignment vertical="top" wrapText="1"/>
    </xf>
    <xf numFmtId="0" fontId="27" fillId="0" borderId="0" xfId="0" applyFont="1" applyBorder="1" applyAlignment="1">
      <alignment vertical="top"/>
    </xf>
    <xf numFmtId="1" fontId="40" fillId="0" borderId="0" xfId="0" applyNumberFormat="1" applyFont="1" applyFill="1" applyBorder="1"/>
    <xf numFmtId="167" fontId="28" fillId="0" borderId="0" xfId="0" applyNumberFormat="1" applyFont="1" applyFill="1" applyBorder="1"/>
    <xf numFmtId="170" fontId="28" fillId="0" borderId="0" xfId="0" applyNumberFormat="1" applyFont="1" applyFill="1" applyBorder="1"/>
    <xf numFmtId="0" fontId="3" fillId="0" borderId="0" xfId="0" applyFont="1" applyFill="1" applyBorder="1" applyAlignment="1">
      <alignment horizontal="right" wrapText="1"/>
    </xf>
    <xf numFmtId="0" fontId="0" fillId="0" borderId="0" xfId="0"/>
    <xf numFmtId="0" fontId="0" fillId="0" borderId="0" xfId="0" applyAlignment="1">
      <alignment horizontal="left"/>
    </xf>
    <xf numFmtId="0" fontId="3" fillId="0" borderId="0" xfId="0" applyFont="1"/>
    <xf numFmtId="0" fontId="0" fillId="0" borderId="0" xfId="0" applyFill="1" applyBorder="1"/>
    <xf numFmtId="0" fontId="0" fillId="0" borderId="0" xfId="0"/>
    <xf numFmtId="166" fontId="0" fillId="0" borderId="0" xfId="0" applyNumberFormat="1"/>
    <xf numFmtId="168" fontId="0" fillId="0" borderId="0" xfId="0" applyNumberFormat="1"/>
    <xf numFmtId="0" fontId="0" fillId="0" borderId="0" xfId="0" applyAlignment="1">
      <alignment horizontal="right"/>
    </xf>
    <xf numFmtId="165" fontId="0" fillId="0" borderId="0" xfId="0" applyNumberFormat="1" applyFill="1"/>
    <xf numFmtId="42" fontId="0" fillId="0" borderId="0" xfId="0" applyNumberFormat="1"/>
    <xf numFmtId="0" fontId="40" fillId="0" borderId="0" xfId="0" applyFont="1" applyFill="1" applyBorder="1" applyAlignment="1">
      <alignment horizontal="right"/>
    </xf>
    <xf numFmtId="0" fontId="4" fillId="0" borderId="0" xfId="3" applyFill="1" applyBorder="1"/>
    <xf numFmtId="0" fontId="0" fillId="0" borderId="0" xfId="0" applyFill="1" applyBorder="1"/>
    <xf numFmtId="0" fontId="28" fillId="0" borderId="0" xfId="0" applyFont="1" applyFill="1" applyBorder="1"/>
    <xf numFmtId="168" fontId="0" fillId="0" borderId="0" xfId="0" applyNumberFormat="1" applyFill="1" applyBorder="1"/>
    <xf numFmtId="0" fontId="0" fillId="0" borderId="0" xfId="0"/>
    <xf numFmtId="0" fontId="3" fillId="0" borderId="0" xfId="0" applyFont="1"/>
    <xf numFmtId="169" fontId="0" fillId="0" borderId="0" xfId="0" applyNumberFormat="1"/>
    <xf numFmtId="169" fontId="0" fillId="0" borderId="0" xfId="133" applyNumberFormat="1" applyFont="1"/>
    <xf numFmtId="0" fontId="0" fillId="0" borderId="0" xfId="0" applyFont="1" applyFill="1" applyBorder="1"/>
    <xf numFmtId="0" fontId="0" fillId="0" borderId="0" xfId="0" applyFill="1"/>
    <xf numFmtId="165" fontId="0" fillId="0" borderId="0" xfId="0" applyNumberFormat="1"/>
    <xf numFmtId="0" fontId="0" fillId="0" borderId="0" xfId="0" applyFont="1"/>
    <xf numFmtId="0" fontId="0" fillId="0" borderId="0" xfId="0" applyFont="1" applyBorder="1"/>
    <xf numFmtId="0" fontId="0" fillId="0" borderId="0" xfId="0" applyAlignment="1">
      <alignment horizontal="right"/>
    </xf>
    <xf numFmtId="42" fontId="0" fillId="0" borderId="0" xfId="0" applyNumberFormat="1"/>
    <xf numFmtId="0" fontId="29" fillId="0" borderId="0" xfId="0" applyFont="1"/>
    <xf numFmtId="0" fontId="0" fillId="0" borderId="0" xfId="0" applyFill="1" applyAlignment="1">
      <alignment horizontal="left"/>
    </xf>
    <xf numFmtId="165" fontId="29" fillId="0" borderId="0" xfId="0" applyNumberFormat="1" applyFont="1" applyFill="1" applyBorder="1"/>
    <xf numFmtId="176" fontId="4" fillId="0" borderId="0" xfId="3" applyNumberFormat="1"/>
    <xf numFmtId="2" fontId="0" fillId="0" borderId="0" xfId="0" applyNumberFormat="1" applyFill="1" applyBorder="1" applyAlignment="1" applyProtection="1"/>
    <xf numFmtId="0" fontId="44" fillId="0" borderId="0" xfId="0" applyFont="1" applyFill="1" applyBorder="1" applyAlignment="1">
      <alignment horizontal="center"/>
    </xf>
    <xf numFmtId="0" fontId="0" fillId="0" borderId="0" xfId="0" applyNumberFormat="1" applyFill="1" applyBorder="1" applyAlignment="1" applyProtection="1">
      <alignment horizontal="center"/>
    </xf>
    <xf numFmtId="3" fontId="3" fillId="0" borderId="0" xfId="0" applyNumberFormat="1" applyFont="1" applyFill="1" applyBorder="1"/>
    <xf numFmtId="3" fontId="23" fillId="0" borderId="0" xfId="0" applyNumberFormat="1" applyFont="1" applyFill="1" applyBorder="1" applyAlignment="1" applyProtection="1">
      <alignment horizontal="right"/>
    </xf>
    <xf numFmtId="3" fontId="23" fillId="0" borderId="0" xfId="133" applyNumberFormat="1" applyFont="1" applyFill="1" applyBorder="1" applyAlignment="1" applyProtection="1">
      <alignment horizontal="right"/>
    </xf>
    <xf numFmtId="0" fontId="45" fillId="0" borderId="0" xfId="0" applyFont="1" applyFill="1" applyBorder="1"/>
    <xf numFmtId="3" fontId="43" fillId="0" borderId="0" xfId="0" applyNumberFormat="1" applyFont="1" applyFill="1" applyBorder="1" applyAlignment="1">
      <alignment horizontal="center"/>
    </xf>
    <xf numFmtId="0" fontId="44" fillId="0" borderId="0" xfId="0" applyFont="1" applyFill="1" applyBorder="1"/>
    <xf numFmtId="0" fontId="29" fillId="0" borderId="0" xfId="0" applyFont="1" applyFill="1" applyBorder="1"/>
    <xf numFmtId="41" fontId="0" fillId="0" borderId="0" xfId="0" applyNumberFormat="1" applyBorder="1"/>
    <xf numFmtId="0" fontId="22" fillId="0" borderId="0" xfId="0" applyFont="1" applyFill="1"/>
    <xf numFmtId="0" fontId="0" fillId="0" borderId="0" xfId="0"/>
    <xf numFmtId="0" fontId="0" fillId="0" borderId="0" xfId="0" applyBorder="1"/>
    <xf numFmtId="0" fontId="3" fillId="0" borderId="0" xfId="0" applyFont="1"/>
    <xf numFmtId="1" fontId="0" fillId="0" borderId="0" xfId="0" applyNumberFormat="1" applyAlignment="1">
      <alignment horizontal="center"/>
    </xf>
    <xf numFmtId="0" fontId="4" fillId="0" borderId="0" xfId="3"/>
    <xf numFmtId="0" fontId="4" fillId="0" borderId="0" xfId="3" applyBorder="1"/>
    <xf numFmtId="0" fontId="36" fillId="0" borderId="0" xfId="3" applyFont="1" applyBorder="1"/>
    <xf numFmtId="0" fontId="4" fillId="0" borderId="0" xfId="3" applyFill="1" applyBorder="1" applyAlignment="1">
      <alignment horizontal="left"/>
    </xf>
    <xf numFmtId="0" fontId="4" fillId="0" borderId="0" xfId="3" applyBorder="1" applyAlignment="1">
      <alignment horizontal="left"/>
    </xf>
    <xf numFmtId="165" fontId="0" fillId="0" borderId="0" xfId="0" applyNumberFormat="1" applyBorder="1"/>
    <xf numFmtId="0" fontId="0" fillId="0" borderId="0" xfId="0" applyFill="1"/>
    <xf numFmtId="3" fontId="0" fillId="0" borderId="0" xfId="0" applyNumberFormat="1"/>
    <xf numFmtId="165" fontId="0" fillId="0" borderId="0" xfId="0" applyNumberFormat="1"/>
    <xf numFmtId="0" fontId="4" fillId="0" borderId="0" xfId="3"/>
    <xf numFmtId="0" fontId="4" fillId="0" borderId="0" xfId="3" applyBorder="1"/>
    <xf numFmtId="0" fontId="4" fillId="0" borderId="0" xfId="3" applyFill="1" applyBorder="1"/>
    <xf numFmtId="0" fontId="37" fillId="0" borderId="0" xfId="3" applyFont="1" applyBorder="1"/>
    <xf numFmtId="0" fontId="37" fillId="0" borderId="0" xfId="3" applyFont="1" applyFill="1" applyBorder="1"/>
    <xf numFmtId="0" fontId="4" fillId="25" borderId="11" xfId="3" applyFill="1" applyBorder="1"/>
    <xf numFmtId="10" fontId="4" fillId="0" borderId="0" xfId="3" applyNumberFormat="1" applyFill="1" applyBorder="1"/>
    <xf numFmtId="9" fontId="4" fillId="0" borderId="0" xfId="3" applyNumberFormat="1" applyFill="1" applyBorder="1"/>
    <xf numFmtId="166" fontId="4" fillId="0" borderId="0" xfId="3" applyNumberFormat="1" applyFill="1" applyBorder="1"/>
    <xf numFmtId="3" fontId="4" fillId="0" borderId="0" xfId="3" applyNumberFormat="1" applyBorder="1"/>
    <xf numFmtId="0" fontId="4" fillId="0" borderId="0" xfId="3"/>
    <xf numFmtId="0" fontId="4" fillId="0" borderId="0" xfId="3" applyBorder="1"/>
    <xf numFmtId="0" fontId="4" fillId="0" borderId="0" xfId="3" applyFill="1" applyBorder="1"/>
    <xf numFmtId="0" fontId="36" fillId="0" borderId="0" xfId="3" applyFont="1" applyBorder="1"/>
    <xf numFmtId="0" fontId="23" fillId="0" borderId="0" xfId="0" applyNumberFormat="1" applyFont="1" applyFill="1" applyBorder="1" applyAlignment="1" applyProtection="1"/>
    <xf numFmtId="44" fontId="0" fillId="0" borderId="0" xfId="133" applyFont="1" applyFill="1" applyBorder="1" applyProtection="1"/>
    <xf numFmtId="2" fontId="0" fillId="0" borderId="0" xfId="0" applyNumberFormat="1" applyFill="1" applyBorder="1" applyAlignment="1" applyProtection="1">
      <protection locked="0"/>
    </xf>
    <xf numFmtId="3" fontId="0" fillId="0" borderId="0" xfId="133" applyNumberFormat="1" applyFont="1" applyFill="1" applyBorder="1" applyAlignment="1" applyProtection="1">
      <alignment horizontal="right"/>
    </xf>
    <xf numFmtId="0" fontId="0" fillId="0" borderId="0" xfId="0" applyNumberFormat="1" applyFill="1" applyBorder="1" applyAlignment="1" applyProtection="1">
      <alignment horizontal="center"/>
      <protection locked="0"/>
    </xf>
    <xf numFmtId="0" fontId="0" fillId="0" borderId="0" xfId="0" applyNumberFormat="1" applyFill="1" applyBorder="1" applyAlignment="1" applyProtection="1"/>
    <xf numFmtId="0" fontId="26" fillId="0" borderId="0" xfId="0" applyNumberFormat="1" applyFont="1" applyFill="1" applyBorder="1" applyAlignment="1" applyProtection="1">
      <alignment horizontal="right"/>
    </xf>
    <xf numFmtId="1" fontId="0" fillId="0" borderId="0" xfId="0" applyNumberFormat="1"/>
    <xf numFmtId="0" fontId="0" fillId="0" borderId="0" xfId="0" applyFill="1" applyBorder="1"/>
    <xf numFmtId="0" fontId="3" fillId="0" borderId="0" xfId="0" applyFont="1" applyFill="1" applyBorder="1"/>
    <xf numFmtId="42" fontId="0" fillId="0" borderId="0" xfId="0" applyNumberFormat="1" applyFill="1" applyBorder="1"/>
    <xf numFmtId="44" fontId="0" fillId="0" borderId="0" xfId="0" applyNumberFormat="1" applyFill="1" applyBorder="1"/>
    <xf numFmtId="165" fontId="0" fillId="0" borderId="0" xfId="0" applyNumberFormat="1"/>
    <xf numFmtId="0" fontId="27" fillId="0" borderId="0" xfId="0" applyFont="1" applyFill="1" applyBorder="1" applyAlignment="1">
      <alignment vertical="top"/>
    </xf>
    <xf numFmtId="0" fontId="4" fillId="0" borderId="0" xfId="3" applyBorder="1"/>
    <xf numFmtId="0" fontId="4" fillId="0" borderId="11" xfId="3" applyBorder="1"/>
    <xf numFmtId="0" fontId="4" fillId="0" borderId="0" xfId="3" applyFill="1" applyBorder="1" applyAlignment="1">
      <alignment horizontal="left"/>
    </xf>
    <xf numFmtId="0" fontId="4" fillId="0" borderId="0" xfId="3" applyFont="1" applyFill="1" applyBorder="1"/>
    <xf numFmtId="0" fontId="4" fillId="0" borderId="0" xfId="3" applyFill="1" applyBorder="1"/>
    <xf numFmtId="0" fontId="38" fillId="0" borderId="0" xfId="3" applyFont="1" applyBorder="1"/>
    <xf numFmtId="0" fontId="23" fillId="0" borderId="0" xfId="3" applyFont="1" applyFill="1"/>
    <xf numFmtId="0" fontId="4" fillId="0" borderId="0" xfId="3" applyFill="1"/>
    <xf numFmtId="166" fontId="4" fillId="0" borderId="0" xfId="3" applyNumberFormat="1" applyFill="1" applyBorder="1"/>
    <xf numFmtId="0" fontId="0" fillId="0" borderId="0" xfId="0" applyFill="1" applyBorder="1"/>
    <xf numFmtId="42" fontId="0" fillId="0" borderId="0" xfId="0" applyNumberFormat="1" applyFill="1" applyBorder="1"/>
    <xf numFmtId="172" fontId="4" fillId="0" borderId="0" xfId="3" applyNumberFormat="1" applyFill="1" applyBorder="1"/>
    <xf numFmtId="0" fontId="0" fillId="0" borderId="0" xfId="0"/>
    <xf numFmtId="0" fontId="0" fillId="0" borderId="0" xfId="0" applyBorder="1"/>
    <xf numFmtId="0" fontId="0" fillId="0" borderId="0" xfId="0" applyFill="1"/>
    <xf numFmtId="0" fontId="0" fillId="0" borderId="0" xfId="0" applyFill="1" applyBorder="1"/>
    <xf numFmtId="0" fontId="0" fillId="0" borderId="0" xfId="0" applyFont="1" applyBorder="1"/>
    <xf numFmtId="0" fontId="35" fillId="0" borderId="0" xfId="3" applyFont="1" applyFill="1" applyBorder="1"/>
    <xf numFmtId="167" fontId="4" fillId="26" borderId="12" xfId="3" applyNumberFormat="1" applyFill="1" applyBorder="1"/>
    <xf numFmtId="0" fontId="35" fillId="0" borderId="0" xfId="3" applyFont="1" applyFill="1"/>
    <xf numFmtId="2" fontId="23" fillId="0" borderId="0" xfId="55" applyNumberFormat="1" applyFont="1"/>
    <xf numFmtId="0" fontId="4" fillId="0" borderId="0" xfId="3" applyFill="1" applyBorder="1" applyAlignment="1">
      <alignment horizontal="right"/>
    </xf>
    <xf numFmtId="0" fontId="4" fillId="0" borderId="0" xfId="3" applyBorder="1"/>
    <xf numFmtId="0" fontId="4" fillId="0" borderId="0" xfId="3" applyFill="1" applyBorder="1"/>
    <xf numFmtId="1" fontId="4" fillId="0" borderId="0" xfId="55" applyNumberFormat="1" applyFont="1" applyFill="1" applyBorder="1"/>
    <xf numFmtId="0" fontId="4" fillId="0" borderId="0" xfId="3"/>
    <xf numFmtId="0" fontId="4" fillId="0" borderId="0" xfId="3" applyBorder="1"/>
    <xf numFmtId="0" fontId="4" fillId="0" borderId="0" xfId="3" applyFont="1" applyBorder="1"/>
    <xf numFmtId="0" fontId="4" fillId="0" borderId="0" xfId="3" applyFill="1" applyBorder="1"/>
    <xf numFmtId="0" fontId="4" fillId="0" borderId="0" xfId="3" applyFont="1"/>
    <xf numFmtId="0" fontId="4" fillId="0" borderId="11" xfId="3" applyBorder="1"/>
    <xf numFmtId="0" fontId="4" fillId="0" borderId="0" xfId="3" applyFont="1" applyFill="1" applyBorder="1"/>
    <xf numFmtId="2" fontId="4" fillId="0" borderId="0" xfId="3" applyNumberFormat="1" applyBorder="1"/>
    <xf numFmtId="0" fontId="4" fillId="0" borderId="11" xfId="3" applyFill="1" applyBorder="1"/>
    <xf numFmtId="0" fontId="4" fillId="0" borderId="0" xfId="3" applyBorder="1" applyAlignment="1">
      <alignment horizontal="left"/>
    </xf>
    <xf numFmtId="167" fontId="4" fillId="0" borderId="0" xfId="3" applyNumberFormat="1" applyBorder="1"/>
    <xf numFmtId="0" fontId="4" fillId="0" borderId="12" xfId="3" applyBorder="1"/>
    <xf numFmtId="0" fontId="0" fillId="0" borderId="0" xfId="0" applyAlignment="1">
      <alignment horizontal="center"/>
    </xf>
    <xf numFmtId="1" fontId="0" fillId="0" borderId="0" xfId="0" applyNumberFormat="1" applyAlignment="1">
      <alignment horizontal="right"/>
    </xf>
    <xf numFmtId="3" fontId="0" fillId="0" borderId="0" xfId="0" applyNumberFormat="1" applyAlignment="1">
      <alignment horizontal="right"/>
    </xf>
    <xf numFmtId="177" fontId="0" fillId="0" borderId="0" xfId="133" applyNumberFormat="1" applyFont="1"/>
    <xf numFmtId="169" fontId="0" fillId="0" borderId="0" xfId="133" applyNumberFormat="1" applyFont="1" applyAlignment="1">
      <alignment horizontal="right"/>
    </xf>
    <xf numFmtId="169" fontId="0" fillId="0" borderId="0" xfId="133" applyNumberFormat="1" applyFont="1" applyAlignment="1">
      <alignment horizontal="center"/>
    </xf>
    <xf numFmtId="42" fontId="0" fillId="0" borderId="17" xfId="0" applyNumberFormat="1" applyFill="1" applyBorder="1"/>
    <xf numFmtId="0" fontId="0" fillId="0" borderId="0" xfId="0" applyBorder="1" applyAlignment="1" applyProtection="1">
      <alignment horizontal="left" vertical="center"/>
      <protection locked="0"/>
    </xf>
    <xf numFmtId="0" fontId="0" fillId="0" borderId="0" xfId="0" applyBorder="1" applyProtection="1">
      <protection locked="0"/>
    </xf>
    <xf numFmtId="0" fontId="0" fillId="24" borderId="0" xfId="0" applyFill="1" applyBorder="1" applyProtection="1">
      <protection locked="0"/>
    </xf>
    <xf numFmtId="169" fontId="0" fillId="0" borderId="0" xfId="0" applyNumberFormat="1" applyFill="1"/>
    <xf numFmtId="169" fontId="0" fillId="0" borderId="17" xfId="0" applyNumberFormat="1" applyFill="1" applyBorder="1"/>
    <xf numFmtId="1" fontId="29" fillId="0" borderId="0" xfId="0" applyNumberFormat="1" applyFont="1" applyAlignment="1">
      <alignment horizontal="right"/>
    </xf>
    <xf numFmtId="169" fontId="29" fillId="0" borderId="0" xfId="133" applyNumberFormat="1" applyFont="1" applyAlignment="1">
      <alignment horizontal="right"/>
    </xf>
    <xf numFmtId="0" fontId="46" fillId="0" borderId="0" xfId="0" applyFont="1"/>
    <xf numFmtId="165" fontId="0" fillId="0" borderId="17" xfId="0" applyNumberFormat="1" applyFill="1" applyBorder="1"/>
    <xf numFmtId="168" fontId="29" fillId="0" borderId="0" xfId="0" applyNumberFormat="1" applyFont="1" applyBorder="1" applyAlignment="1">
      <alignment horizontal="right"/>
    </xf>
    <xf numFmtId="0" fontId="29" fillId="0" borderId="0" xfId="0" applyFont="1" applyFill="1" applyAlignment="1">
      <alignment horizontal="right"/>
    </xf>
    <xf numFmtId="0" fontId="29" fillId="0" borderId="0" xfId="0" applyFont="1" applyAlignment="1">
      <alignment horizontal="center"/>
    </xf>
    <xf numFmtId="168" fontId="29" fillId="0" borderId="0" xfId="0" applyNumberFormat="1" applyFont="1" applyAlignment="1">
      <alignment horizontal="center"/>
    </xf>
    <xf numFmtId="0" fontId="29" fillId="0" borderId="0" xfId="0" applyFont="1" applyFill="1" applyAlignment="1">
      <alignment horizontal="center"/>
    </xf>
    <xf numFmtId="4" fontId="29" fillId="0" borderId="0" xfId="0" applyNumberFormat="1" applyFont="1" applyAlignment="1">
      <alignment horizontal="right"/>
    </xf>
    <xf numFmtId="169" fontId="29" fillId="0" borderId="0" xfId="133" applyNumberFormat="1" applyFont="1"/>
    <xf numFmtId="175" fontId="29" fillId="0" borderId="0" xfId="133" applyNumberFormat="1" applyFont="1" applyFill="1" applyBorder="1"/>
    <xf numFmtId="167" fontId="29" fillId="0" borderId="0" xfId="0" applyNumberFormat="1" applyFont="1"/>
    <xf numFmtId="0" fontId="29" fillId="0" borderId="17" xfId="0" applyFont="1" applyFill="1" applyBorder="1"/>
    <xf numFmtId="169" fontId="29" fillId="0" borderId="17" xfId="133" applyNumberFormat="1" applyFont="1" applyFill="1" applyBorder="1"/>
    <xf numFmtId="37" fontId="29" fillId="0" borderId="17" xfId="133" applyNumberFormat="1" applyFont="1" applyFill="1" applyBorder="1"/>
    <xf numFmtId="1" fontId="29" fillId="0" borderId="17" xfId="0" applyNumberFormat="1" applyFont="1" applyFill="1" applyBorder="1"/>
    <xf numFmtId="0" fontId="29" fillId="0" borderId="17" xfId="0" applyFont="1" applyBorder="1" applyAlignment="1">
      <alignment horizontal="right"/>
    </xf>
    <xf numFmtId="169" fontId="29" fillId="0" borderId="17" xfId="133" applyNumberFormat="1" applyFont="1" applyBorder="1" applyAlignment="1">
      <alignment horizontal="right"/>
    </xf>
    <xf numFmtId="37" fontId="29" fillId="0" borderId="17" xfId="133" applyNumberFormat="1" applyFont="1" applyBorder="1" applyAlignment="1">
      <alignment horizontal="right"/>
    </xf>
    <xf numFmtId="169" fontId="29" fillId="0" borderId="0" xfId="0" applyNumberFormat="1" applyFont="1"/>
    <xf numFmtId="169" fontId="29" fillId="0" borderId="17" xfId="133" applyNumberFormat="1" applyFont="1" applyBorder="1"/>
    <xf numFmtId="0" fontId="25" fillId="25" borderId="19" xfId="0" applyNumberFormat="1" applyFont="1" applyFill="1" applyBorder="1" applyAlignment="1" applyProtection="1">
      <alignment horizontal="left" wrapText="1"/>
    </xf>
    <xf numFmtId="0" fontId="26" fillId="25" borderId="20" xfId="0" applyNumberFormat="1" applyFont="1" applyFill="1" applyBorder="1" applyAlignment="1" applyProtection="1">
      <alignment horizontal="center"/>
    </xf>
    <xf numFmtId="0" fontId="26" fillId="25" borderId="22" xfId="0" applyNumberFormat="1" applyFont="1" applyFill="1" applyBorder="1" applyAlignment="1" applyProtection="1">
      <alignment wrapText="1"/>
    </xf>
    <xf numFmtId="0" fontId="26" fillId="25" borderId="19" xfId="0" applyNumberFormat="1" applyFont="1" applyFill="1" applyBorder="1" applyAlignment="1" applyProtection="1">
      <alignment horizontal="left"/>
    </xf>
    <xf numFmtId="0" fontId="26" fillId="25" borderId="20" xfId="0" applyNumberFormat="1" applyFont="1" applyFill="1" applyBorder="1" applyAlignment="1" applyProtection="1">
      <alignment horizontal="right"/>
    </xf>
    <xf numFmtId="0" fontId="26" fillId="25" borderId="20" xfId="0" applyNumberFormat="1" applyFont="1" applyFill="1" applyBorder="1" applyAlignment="1" applyProtection="1"/>
    <xf numFmtId="0" fontId="26" fillId="25" borderId="22" xfId="0" applyNumberFormat="1" applyFont="1" applyFill="1" applyBorder="1" applyAlignment="1" applyProtection="1"/>
    <xf numFmtId="0" fontId="26" fillId="25" borderId="19" xfId="0" applyNumberFormat="1" applyFont="1" applyFill="1" applyBorder="1" applyAlignment="1" applyProtection="1">
      <alignment horizontal="center"/>
    </xf>
    <xf numFmtId="0" fontId="0" fillId="25" borderId="23" xfId="0" applyNumberFormat="1" applyFill="1" applyBorder="1" applyAlignment="1" applyProtection="1">
      <alignment wrapText="1"/>
    </xf>
    <xf numFmtId="0" fontId="26" fillId="25" borderId="24" xfId="0" applyNumberFormat="1" applyFont="1" applyFill="1" applyBorder="1" applyAlignment="1" applyProtection="1">
      <alignment horizontal="center"/>
    </xf>
    <xf numFmtId="0" fontId="26" fillId="25" borderId="25" xfId="0" applyNumberFormat="1" applyFont="1" applyFill="1" applyBorder="1" applyAlignment="1" applyProtection="1">
      <alignment horizontal="center" wrapText="1"/>
    </xf>
    <xf numFmtId="16" fontId="0" fillId="25" borderId="23" xfId="0" applyNumberFormat="1" applyFill="1" applyBorder="1" applyAlignment="1" applyProtection="1">
      <alignment horizontal="center"/>
    </xf>
    <xf numFmtId="0" fontId="0" fillId="25" borderId="24" xfId="0" quotePrefix="1" applyNumberFormat="1" applyFill="1" applyBorder="1" applyAlignment="1" applyProtection="1">
      <alignment horizontal="center"/>
    </xf>
    <xf numFmtId="0" fontId="0" fillId="25" borderId="25" xfId="0" quotePrefix="1" applyNumberFormat="1" applyFill="1" applyBorder="1" applyAlignment="1" applyProtection="1">
      <alignment horizontal="center"/>
    </xf>
    <xf numFmtId="16" fontId="0" fillId="25" borderId="24" xfId="0" applyNumberFormat="1" applyFill="1" applyBorder="1" applyAlignment="1" applyProtection="1">
      <alignment horizontal="center"/>
    </xf>
    <xf numFmtId="0" fontId="0" fillId="25" borderId="26" xfId="0" applyNumberFormat="1" applyFill="1" applyBorder="1" applyAlignment="1" applyProtection="1"/>
    <xf numFmtId="3" fontId="0" fillId="0" borderId="18" xfId="0" applyNumberFormat="1" applyFill="1" applyBorder="1" applyAlignment="1" applyProtection="1">
      <protection locked="0"/>
    </xf>
    <xf numFmtId="0" fontId="0" fillId="0" borderId="18" xfId="0" applyNumberFormat="1" applyFill="1" applyBorder="1" applyAlignment="1" applyProtection="1">
      <alignment horizontal="center"/>
      <protection locked="0"/>
    </xf>
    <xf numFmtId="169" fontId="0" fillId="25" borderId="0" xfId="133" applyNumberFormat="1" applyFont="1" applyFill="1" applyBorder="1" applyProtection="1"/>
    <xf numFmtId="0" fontId="4" fillId="0" borderId="18" xfId="0" applyNumberFormat="1" applyFont="1" applyFill="1" applyBorder="1" applyAlignment="1" applyProtection="1">
      <alignment horizontal="center"/>
      <protection locked="0"/>
    </xf>
    <xf numFmtId="3" fontId="0" fillId="25" borderId="26" xfId="133" applyNumberFormat="1" applyFont="1" applyFill="1" applyBorder="1" applyAlignment="1" applyProtection="1">
      <alignment horizontal="right"/>
    </xf>
    <xf numFmtId="3" fontId="0" fillId="25" borderId="0" xfId="133" applyNumberFormat="1" applyFont="1" applyFill="1" applyBorder="1" applyAlignment="1" applyProtection="1">
      <alignment horizontal="right"/>
    </xf>
    <xf numFmtId="3" fontId="0" fillId="25" borderId="16" xfId="133" applyNumberFormat="1" applyFont="1" applyFill="1" applyBorder="1" applyAlignment="1" applyProtection="1">
      <alignment horizontal="right"/>
    </xf>
    <xf numFmtId="3" fontId="0" fillId="0" borderId="12" xfId="0" applyNumberFormat="1" applyFill="1" applyBorder="1" applyAlignment="1" applyProtection="1">
      <protection locked="0"/>
    </xf>
    <xf numFmtId="0" fontId="0" fillId="0" borderId="12" xfId="0" applyNumberFormat="1" applyFill="1" applyBorder="1" applyAlignment="1" applyProtection="1">
      <alignment horizontal="center"/>
      <protection locked="0"/>
    </xf>
    <xf numFmtId="0" fontId="4" fillId="0" borderId="12" xfId="0" applyNumberFormat="1" applyFont="1" applyFill="1" applyBorder="1" applyAlignment="1" applyProtection="1">
      <alignment horizontal="center"/>
      <protection locked="0"/>
    </xf>
    <xf numFmtId="3" fontId="4" fillId="25" borderId="26" xfId="133" applyNumberFormat="1" applyFont="1" applyFill="1" applyBorder="1" applyAlignment="1" applyProtection="1">
      <alignment horizontal="right"/>
    </xf>
    <xf numFmtId="2" fontId="0" fillId="0" borderId="12" xfId="0" applyNumberFormat="1" applyFill="1" applyBorder="1" applyAlignment="1" applyProtection="1">
      <protection locked="0"/>
    </xf>
    <xf numFmtId="44" fontId="0" fillId="25" borderId="0" xfId="133" applyFont="1" applyFill="1" applyBorder="1" applyProtection="1"/>
    <xf numFmtId="3" fontId="0" fillId="25" borderId="14" xfId="133" applyNumberFormat="1" applyFont="1" applyFill="1" applyBorder="1" applyAlignment="1" applyProtection="1">
      <alignment horizontal="right"/>
    </xf>
    <xf numFmtId="3" fontId="0" fillId="25" borderId="17" xfId="133" applyNumberFormat="1" applyFont="1" applyFill="1" applyBorder="1" applyAlignment="1" applyProtection="1">
      <alignment horizontal="right"/>
    </xf>
    <xf numFmtId="3" fontId="0" fillId="25" borderId="21" xfId="133" applyNumberFormat="1" applyFont="1" applyFill="1" applyBorder="1" applyAlignment="1" applyProtection="1">
      <alignment horizontal="right"/>
    </xf>
    <xf numFmtId="0" fontId="23" fillId="25" borderId="10" xfId="0" applyNumberFormat="1" applyFont="1" applyFill="1" applyBorder="1" applyAlignment="1" applyProtection="1"/>
    <xf numFmtId="2" fontId="0" fillId="25" borderId="11" xfId="0" applyNumberFormat="1" applyFill="1" applyBorder="1" applyAlignment="1" applyProtection="1"/>
    <xf numFmtId="0" fontId="26" fillId="25" borderId="11" xfId="0" applyNumberFormat="1" applyFont="1" applyFill="1" applyBorder="1" applyAlignment="1" applyProtection="1">
      <alignment horizontal="right"/>
    </xf>
    <xf numFmtId="44" fontId="0" fillId="25" borderId="11" xfId="133" applyFont="1" applyFill="1" applyBorder="1" applyProtection="1"/>
    <xf numFmtId="0" fontId="0" fillId="25" borderId="10" xfId="0" applyNumberFormat="1" applyFill="1" applyBorder="1" applyAlignment="1" applyProtection="1">
      <alignment horizontal="center"/>
    </xf>
    <xf numFmtId="0" fontId="0" fillId="25" borderId="11" xfId="0" applyNumberFormat="1" applyFill="1" applyBorder="1" applyAlignment="1" applyProtection="1">
      <alignment horizontal="center"/>
    </xf>
    <xf numFmtId="0" fontId="0" fillId="25" borderId="13" xfId="0" applyNumberFormat="1" applyFill="1" applyBorder="1" applyAlignment="1" applyProtection="1">
      <alignment horizontal="center"/>
    </xf>
    <xf numFmtId="3" fontId="23" fillId="25" borderId="26" xfId="0" applyNumberFormat="1" applyFont="1" applyFill="1" applyBorder="1" applyAlignment="1" applyProtection="1">
      <alignment horizontal="right"/>
    </xf>
    <xf numFmtId="3" fontId="23" fillId="25" borderId="0" xfId="133" applyNumberFormat="1" applyFont="1" applyFill="1" applyBorder="1" applyAlignment="1" applyProtection="1">
      <alignment horizontal="right"/>
    </xf>
    <xf numFmtId="3" fontId="3" fillId="0" borderId="0" xfId="0" applyNumberFormat="1" applyFont="1"/>
    <xf numFmtId="165" fontId="0" fillId="0" borderId="17" xfId="0" applyNumberFormat="1" applyBorder="1" applyAlignment="1">
      <alignment horizontal="right"/>
    </xf>
    <xf numFmtId="169" fontId="0" fillId="0" borderId="0" xfId="0" applyNumberFormat="1" applyBorder="1"/>
    <xf numFmtId="39" fontId="0" fillId="0" borderId="0" xfId="0" applyNumberFormat="1"/>
    <xf numFmtId="44" fontId="0" fillId="0" borderId="17" xfId="0" applyNumberFormat="1" applyBorder="1"/>
    <xf numFmtId="2" fontId="0" fillId="0" borderId="17" xfId="0" applyNumberFormat="1" applyBorder="1"/>
    <xf numFmtId="0" fontId="0" fillId="0" borderId="0" xfId="0" applyBorder="1" applyAlignment="1">
      <alignment horizontal="right"/>
    </xf>
    <xf numFmtId="166" fontId="0" fillId="0" borderId="0" xfId="0" applyNumberFormat="1" applyBorder="1" applyAlignment="1">
      <alignment horizontal="right"/>
    </xf>
    <xf numFmtId="44" fontId="0" fillId="0" borderId="0" xfId="0" applyNumberFormat="1" applyBorder="1" applyAlignment="1">
      <alignment horizontal="right"/>
    </xf>
    <xf numFmtId="44" fontId="0" fillId="0" borderId="0" xfId="133" applyNumberFormat="1" applyFont="1" applyBorder="1"/>
    <xf numFmtId="169" fontId="29" fillId="0" borderId="0" xfId="133" applyNumberFormat="1" applyFont="1" applyFill="1" applyBorder="1" applyAlignment="1" applyProtection="1">
      <alignment horizontal="center"/>
    </xf>
    <xf numFmtId="0" fontId="29" fillId="0" borderId="17" xfId="0" applyNumberFormat="1" applyFont="1" applyFill="1" applyBorder="1" applyAlignment="1" applyProtection="1">
      <alignment horizontal="left" vertical="top" wrapText="1"/>
    </xf>
    <xf numFmtId="169" fontId="29" fillId="0" borderId="17" xfId="133" applyNumberFormat="1" applyFont="1" applyFill="1" applyBorder="1" applyAlignment="1" applyProtection="1">
      <protection locked="0"/>
    </xf>
    <xf numFmtId="3" fontId="29" fillId="0" borderId="0" xfId="0" applyNumberFormat="1" applyFont="1" applyFill="1" applyBorder="1" applyAlignment="1" applyProtection="1">
      <alignment horizontal="right"/>
    </xf>
    <xf numFmtId="0" fontId="0" fillId="0" borderId="0" xfId="0"/>
    <xf numFmtId="0" fontId="0" fillId="0" borderId="0" xfId="0"/>
    <xf numFmtId="0" fontId="0" fillId="0" borderId="0" xfId="0"/>
    <xf numFmtId="0" fontId="3" fillId="0" borderId="0" xfId="0" applyFont="1"/>
    <xf numFmtId="0" fontId="0" fillId="0" borderId="0" xfId="0"/>
    <xf numFmtId="42" fontId="0" fillId="0" borderId="0" xfId="0" applyNumberFormat="1" applyFont="1" applyBorder="1"/>
    <xf numFmtId="0" fontId="0" fillId="0" borderId="0" xfId="0"/>
    <xf numFmtId="0" fontId="3" fillId="0" borderId="0" xfId="0" applyFont="1" applyAlignment="1">
      <alignment horizontal="left"/>
    </xf>
    <xf numFmtId="9" fontId="0" fillId="0" borderId="0" xfId="0" applyNumberFormat="1" applyFont="1" applyFill="1"/>
    <xf numFmtId="166" fontId="0" fillId="0" borderId="0" xfId="0" applyNumberFormat="1" applyFont="1" applyFill="1"/>
    <xf numFmtId="1" fontId="0" fillId="0" borderId="0" xfId="0" applyNumberFormat="1" applyFont="1" applyFill="1"/>
    <xf numFmtId="44" fontId="0" fillId="0" borderId="0" xfId="0" applyNumberFormat="1" applyFont="1" applyBorder="1"/>
    <xf numFmtId="0" fontId="0" fillId="0" borderId="0" xfId="0"/>
    <xf numFmtId="49" fontId="0" fillId="0" borderId="0" xfId="0" applyNumberFormat="1"/>
    <xf numFmtId="0" fontId="0" fillId="0" borderId="0" xfId="0"/>
    <xf numFmtId="0" fontId="29" fillId="0" borderId="0" xfId="0" applyFont="1"/>
    <xf numFmtId="0" fontId="42" fillId="0" borderId="0" xfId="0" applyFont="1"/>
    <xf numFmtId="0" fontId="0" fillId="0" borderId="0" xfId="0"/>
    <xf numFmtId="0" fontId="0" fillId="0" borderId="0" xfId="0"/>
    <xf numFmtId="0" fontId="0" fillId="0" borderId="0" xfId="0" applyFont="1"/>
    <xf numFmtId="9" fontId="3" fillId="0" borderId="0" xfId="0" applyNumberFormat="1" applyFont="1" applyFill="1"/>
    <xf numFmtId="166" fontId="3" fillId="0" borderId="0" xfId="0" applyNumberFormat="1" applyFont="1" applyFill="1"/>
    <xf numFmtId="169" fontId="3" fillId="0" borderId="0" xfId="0" applyNumberFormat="1" applyFont="1"/>
    <xf numFmtId="175" fontId="3" fillId="0" borderId="0" xfId="0" applyNumberFormat="1" applyFont="1"/>
    <xf numFmtId="10" fontId="0" fillId="0" borderId="0" xfId="150" applyNumberFormat="1" applyFont="1" applyBorder="1"/>
    <xf numFmtId="0" fontId="3" fillId="0" borderId="0" xfId="0" applyFont="1" applyBorder="1" applyAlignment="1">
      <alignment horizontal="center"/>
    </xf>
    <xf numFmtId="0" fontId="40" fillId="0" borderId="0" xfId="0" applyFont="1" applyBorder="1" applyAlignment="1">
      <alignment horizontal="center"/>
    </xf>
    <xf numFmtId="0" fontId="3" fillId="29" borderId="27" xfId="0" applyFont="1" applyFill="1" applyBorder="1" applyAlignment="1">
      <alignment wrapText="1"/>
    </xf>
    <xf numFmtId="10" fontId="0" fillId="30" borderId="28" xfId="0" applyNumberFormat="1" applyFill="1" applyBorder="1"/>
    <xf numFmtId="0" fontId="0" fillId="30" borderId="29" xfId="0" applyFill="1" applyBorder="1"/>
    <xf numFmtId="0" fontId="0" fillId="0" borderId="0" xfId="0" applyBorder="1" applyAlignment="1">
      <alignment horizontal="left"/>
    </xf>
    <xf numFmtId="165" fontId="0" fillId="0" borderId="0" xfId="0" applyNumberFormat="1" applyFill="1" applyBorder="1" applyAlignment="1">
      <alignment horizontal="left"/>
    </xf>
    <xf numFmtId="168" fontId="0" fillId="0" borderId="0" xfId="0" applyNumberFormat="1" applyBorder="1" applyAlignment="1">
      <alignment horizontal="left"/>
    </xf>
    <xf numFmtId="9" fontId="0" fillId="0" borderId="0" xfId="0" applyNumberFormat="1" applyBorder="1" applyAlignment="1">
      <alignment horizontal="left"/>
    </xf>
    <xf numFmtId="0" fontId="47" fillId="28" borderId="0" xfId="151" applyBorder="1" applyAlignment="1">
      <alignment horizontal="left"/>
    </xf>
    <xf numFmtId="10" fontId="3" fillId="31" borderId="0" xfId="150" applyNumberFormat="1" applyFont="1" applyFill="1" applyBorder="1" applyAlignment="1">
      <alignment horizontal="left"/>
    </xf>
    <xf numFmtId="10" fontId="0" fillId="31" borderId="0" xfId="150" applyNumberFormat="1" applyFont="1" applyFill="1" applyBorder="1" applyAlignment="1">
      <alignment horizontal="left"/>
    </xf>
    <xf numFmtId="0" fontId="40" fillId="31" borderId="0" xfId="0" applyFont="1" applyFill="1" applyBorder="1" applyAlignment="1">
      <alignment horizontal="left"/>
    </xf>
    <xf numFmtId="0" fontId="50" fillId="28" borderId="0" xfId="151" applyFont="1" applyBorder="1" applyAlignment="1">
      <alignment horizontal="left"/>
    </xf>
    <xf numFmtId="0" fontId="3" fillId="0" borderId="0" xfId="0" applyFont="1" applyBorder="1" applyAlignment="1">
      <alignment horizontal="center" wrapText="1"/>
    </xf>
    <xf numFmtId="0" fontId="40" fillId="0" borderId="0" xfId="0" applyFont="1" applyBorder="1" applyAlignment="1">
      <alignment horizontal="center" wrapText="1"/>
    </xf>
    <xf numFmtId="0" fontId="0" fillId="31" borderId="0" xfId="0" applyFill="1" applyBorder="1"/>
    <xf numFmtId="0" fontId="0" fillId="31" borderId="0" xfId="0" applyFill="1" applyBorder="1" applyAlignment="1">
      <alignment horizontal="left"/>
    </xf>
    <xf numFmtId="10" fontId="2" fillId="31" borderId="0" xfId="150" applyNumberFormat="1" applyFont="1" applyFill="1" applyBorder="1" applyAlignment="1">
      <alignment horizontal="left"/>
    </xf>
    <xf numFmtId="0" fontId="0" fillId="31" borderId="0" xfId="0" applyFont="1" applyFill="1" applyBorder="1" applyAlignment="1">
      <alignment horizontal="left"/>
    </xf>
    <xf numFmtId="0" fontId="3" fillId="32" borderId="0" xfId="0" applyFont="1" applyFill="1" applyBorder="1"/>
    <xf numFmtId="0" fontId="40" fillId="32" borderId="0" xfId="0" applyFont="1" applyFill="1" applyBorder="1" applyAlignment="1">
      <alignment horizontal="left"/>
    </xf>
    <xf numFmtId="0" fontId="0" fillId="32" borderId="0" xfId="0" applyFill="1" applyBorder="1" applyAlignment="1">
      <alignment horizontal="left"/>
    </xf>
    <xf numFmtId="0" fontId="0" fillId="32" borderId="0" xfId="0" applyFill="1" applyBorder="1"/>
    <xf numFmtId="10" fontId="3" fillId="31" borderId="0" xfId="150" applyNumberFormat="1" applyFont="1" applyFill="1" applyBorder="1" applyAlignment="1">
      <alignment horizontal="left" wrapText="1"/>
    </xf>
    <xf numFmtId="0" fontId="3" fillId="31" borderId="24" xfId="0" applyFont="1" applyFill="1" applyBorder="1" applyAlignment="1">
      <alignment wrapText="1"/>
    </xf>
    <xf numFmtId="10" fontId="0" fillId="30" borderId="0" xfId="0" applyNumberFormat="1" applyFill="1" applyBorder="1"/>
    <xf numFmtId="10" fontId="3" fillId="29" borderId="0" xfId="0" applyNumberFormat="1" applyFont="1" applyFill="1" applyBorder="1"/>
    <xf numFmtId="9" fontId="0" fillId="33" borderId="0" xfId="150" applyFont="1" applyFill="1"/>
    <xf numFmtId="0" fontId="3" fillId="29" borderId="24" xfId="0" applyFont="1" applyFill="1" applyBorder="1" applyAlignment="1">
      <alignment wrapText="1"/>
    </xf>
    <xf numFmtId="0" fontId="0" fillId="27" borderId="0" xfId="0" applyFill="1"/>
    <xf numFmtId="169" fontId="0" fillId="27" borderId="0" xfId="133" applyNumberFormat="1" applyFont="1" applyFill="1"/>
    <xf numFmtId="0" fontId="3" fillId="27" borderId="0" xfId="0" applyFont="1" applyFill="1" applyBorder="1"/>
    <xf numFmtId="0" fontId="0" fillId="27" borderId="0" xfId="0" applyFill="1" applyBorder="1"/>
    <xf numFmtId="0" fontId="0" fillId="27" borderId="0" xfId="0" applyFont="1" applyFill="1" applyAlignment="1">
      <alignment horizontal="right"/>
    </xf>
    <xf numFmtId="44" fontId="0" fillId="27" borderId="0" xfId="0" applyNumberFormat="1" applyFill="1"/>
    <xf numFmtId="42" fontId="0" fillId="27" borderId="0" xfId="0" applyNumberFormat="1" applyFont="1" applyFill="1" applyBorder="1"/>
    <xf numFmtId="44" fontId="0" fillId="27" borderId="0" xfId="0" applyNumberFormat="1" applyFont="1" applyFill="1" applyBorder="1"/>
    <xf numFmtId="0" fontId="0" fillId="27" borderId="0" xfId="0" applyFont="1" applyFill="1"/>
    <xf numFmtId="0" fontId="0" fillId="27" borderId="17" xfId="0" applyFont="1" applyFill="1" applyBorder="1"/>
    <xf numFmtId="42" fontId="0" fillId="27" borderId="17" xfId="133" applyNumberFormat="1" applyFont="1" applyFill="1" applyBorder="1"/>
    <xf numFmtId="0" fontId="0" fillId="27" borderId="0" xfId="0" applyFont="1" applyFill="1" applyBorder="1"/>
    <xf numFmtId="3" fontId="0" fillId="27" borderId="0" xfId="0" applyNumberFormat="1" applyFill="1" applyBorder="1"/>
    <xf numFmtId="170" fontId="0" fillId="27" borderId="0" xfId="0" applyNumberFormat="1" applyFill="1" applyBorder="1"/>
    <xf numFmtId="168" fontId="0" fillId="27" borderId="0" xfId="0" applyNumberFormat="1" applyFill="1" applyBorder="1"/>
    <xf numFmtId="0" fontId="3" fillId="27" borderId="0" xfId="0" applyFont="1" applyFill="1"/>
    <xf numFmtId="169" fontId="0" fillId="27" borderId="0" xfId="133" applyNumberFormat="1" applyFont="1" applyFill="1" applyBorder="1"/>
    <xf numFmtId="169" fontId="0" fillId="27" borderId="17" xfId="133" applyNumberFormat="1" applyFont="1" applyFill="1" applyBorder="1"/>
    <xf numFmtId="165" fontId="0" fillId="27" borderId="0" xfId="0" applyNumberFormat="1" applyFill="1"/>
    <xf numFmtId="1" fontId="0" fillId="27" borderId="0" xfId="0" applyNumberFormat="1" applyFill="1" applyBorder="1"/>
    <xf numFmtId="165" fontId="0" fillId="27" borderId="0" xfId="0" applyNumberFormat="1" applyFill="1" applyBorder="1"/>
    <xf numFmtId="9" fontId="0" fillId="27" borderId="0" xfId="0" applyNumberFormat="1" applyFill="1" applyBorder="1"/>
    <xf numFmtId="4" fontId="0" fillId="27" borderId="0" xfId="0" applyNumberFormat="1" applyFill="1" applyBorder="1"/>
    <xf numFmtId="44" fontId="39" fillId="27" borderId="0" xfId="0" applyNumberFormat="1" applyFont="1" applyFill="1" applyBorder="1"/>
    <xf numFmtId="0" fontId="0" fillId="27" borderId="0" xfId="0" applyFill="1" applyAlignment="1">
      <alignment horizontal="right"/>
    </xf>
    <xf numFmtId="9" fontId="0" fillId="27" borderId="0" xfId="0" applyNumberFormat="1" applyFont="1" applyFill="1" applyBorder="1"/>
    <xf numFmtId="9" fontId="28" fillId="27" borderId="0" xfId="0" applyNumberFormat="1" applyFont="1" applyFill="1" applyBorder="1"/>
    <xf numFmtId="0" fontId="0" fillId="35" borderId="0" xfId="0" applyFill="1"/>
    <xf numFmtId="42" fontId="0" fillId="35" borderId="0" xfId="0" applyNumberFormat="1" applyFill="1"/>
    <xf numFmtId="0" fontId="3" fillId="34" borderId="0" xfId="0" applyFont="1" applyFill="1"/>
    <xf numFmtId="0" fontId="0" fillId="34" borderId="0" xfId="0" applyFill="1"/>
    <xf numFmtId="0" fontId="0" fillId="0" borderId="0" xfId="0" applyAlignment="1">
      <alignment vertical="top" wrapText="1"/>
    </xf>
    <xf numFmtId="171" fontId="0" fillId="27" borderId="0" xfId="0" applyNumberFormat="1" applyFill="1"/>
    <xf numFmtId="44" fontId="0" fillId="0" borderId="0" xfId="0" applyNumberFormat="1" applyBorder="1"/>
    <xf numFmtId="168" fontId="0" fillId="0" borderId="0" xfId="0" applyNumberFormat="1" applyFill="1" applyBorder="1" applyAlignment="1">
      <alignment horizontal="left"/>
    </xf>
    <xf numFmtId="9" fontId="0" fillId="0" borderId="0" xfId="0" applyNumberFormat="1" applyFill="1" applyBorder="1" applyAlignment="1">
      <alignment horizontal="left"/>
    </xf>
    <xf numFmtId="0" fontId="0" fillId="0" borderId="0" xfId="0" applyFill="1" applyBorder="1" applyAlignment="1">
      <alignment horizontal="left"/>
    </xf>
    <xf numFmtId="10" fontId="3" fillId="0" borderId="0" xfId="150" applyNumberFormat="1" applyFont="1" applyFill="1" applyBorder="1" applyAlignment="1">
      <alignment horizontal="left" wrapText="1"/>
    </xf>
    <xf numFmtId="10" fontId="3" fillId="0" borderId="0" xfId="0" applyNumberFormat="1" applyFont="1" applyFill="1" applyBorder="1"/>
    <xf numFmtId="0" fontId="3" fillId="0" borderId="0" xfId="0" applyFont="1" applyFill="1" applyBorder="1" applyAlignment="1">
      <alignment horizontal="center" wrapText="1"/>
    </xf>
    <xf numFmtId="9" fontId="0" fillId="0" borderId="0" xfId="150" applyFont="1" applyFill="1" applyBorder="1"/>
    <xf numFmtId="10" fontId="0" fillId="0" borderId="0" xfId="0" applyNumberFormat="1" applyFill="1" applyBorder="1"/>
    <xf numFmtId="10" fontId="0" fillId="0" borderId="0" xfId="150" applyNumberFormat="1" applyFont="1" applyFill="1" applyBorder="1"/>
    <xf numFmtId="0" fontId="3" fillId="0" borderId="0" xfId="0" applyFont="1" applyFill="1" applyBorder="1" applyAlignment="1">
      <alignment horizontal="center"/>
    </xf>
    <xf numFmtId="0" fontId="40" fillId="0" borderId="0" xfId="0" applyFont="1" applyFill="1" applyBorder="1" applyAlignment="1">
      <alignment horizontal="left"/>
    </xf>
    <xf numFmtId="10" fontId="0" fillId="0" borderId="0" xfId="150" applyNumberFormat="1" applyFont="1" applyFill="1" applyBorder="1" applyAlignment="1">
      <alignment horizontal="left"/>
    </xf>
    <xf numFmtId="10" fontId="3" fillId="0" borderId="0" xfId="150" applyNumberFormat="1" applyFont="1" applyFill="1" applyBorder="1" applyAlignment="1">
      <alignment horizontal="left"/>
    </xf>
    <xf numFmtId="10" fontId="2" fillId="0" borderId="0" xfId="150" applyNumberFormat="1" applyFont="1" applyFill="1" applyBorder="1" applyAlignment="1">
      <alignment horizontal="left"/>
    </xf>
    <xf numFmtId="0" fontId="0" fillId="0" borderId="0" xfId="0" applyFont="1" applyFill="1" applyBorder="1" applyAlignment="1">
      <alignment horizontal="left"/>
    </xf>
    <xf numFmtId="0" fontId="0" fillId="0" borderId="26" xfId="0" applyBorder="1"/>
    <xf numFmtId="44" fontId="0" fillId="0" borderId="16" xfId="0" applyNumberFormat="1" applyBorder="1"/>
    <xf numFmtId="0" fontId="0" fillId="0" borderId="16" xfId="0" applyBorder="1"/>
    <xf numFmtId="0" fontId="0" fillId="0" borderId="26" xfId="0" applyFont="1" applyBorder="1"/>
    <xf numFmtId="0" fontId="0" fillId="0" borderId="14" xfId="0" applyBorder="1"/>
    <xf numFmtId="44" fontId="0" fillId="0" borderId="21" xfId="0" applyNumberFormat="1" applyBorder="1"/>
    <xf numFmtId="0" fontId="3" fillId="0" borderId="30" xfId="0" applyFont="1" applyBorder="1"/>
    <xf numFmtId="0" fontId="3" fillId="0" borderId="31" xfId="0" applyFont="1" applyBorder="1" applyAlignment="1">
      <alignment horizontal="left"/>
    </xf>
    <xf numFmtId="0" fontId="3" fillId="0" borderId="32" xfId="0" applyFont="1" applyBorder="1" applyAlignment="1">
      <alignment horizontal="left"/>
    </xf>
    <xf numFmtId="0" fontId="0" fillId="0" borderId="0" xfId="0" applyAlignment="1">
      <alignment horizontal="center"/>
    </xf>
    <xf numFmtId="0" fontId="0" fillId="34" borderId="0" xfId="0" applyFill="1" applyAlignment="1">
      <alignment horizontal="right"/>
    </xf>
    <xf numFmtId="169" fontId="0" fillId="34" borderId="0" xfId="133" applyNumberFormat="1" applyFont="1" applyFill="1"/>
    <xf numFmtId="0" fontId="0" fillId="34" borderId="17" xfId="0" applyFill="1" applyBorder="1"/>
    <xf numFmtId="169" fontId="0" fillId="34" borderId="17" xfId="133" applyNumberFormat="1" applyFont="1" applyFill="1" applyBorder="1"/>
    <xf numFmtId="169" fontId="0" fillId="0" borderId="0" xfId="0" applyNumberFormat="1" applyFont="1" applyFill="1"/>
    <xf numFmtId="169" fontId="32" fillId="0" borderId="0" xfId="0" applyNumberFormat="1" applyFont="1" applyFill="1"/>
    <xf numFmtId="0" fontId="27" fillId="0" borderId="33" xfId="0" applyFont="1" applyFill="1" applyBorder="1" applyAlignment="1">
      <alignment vertical="top" wrapText="1"/>
    </xf>
    <xf numFmtId="0" fontId="0" fillId="0" borderId="33" xfId="0" applyFont="1" applyBorder="1"/>
    <xf numFmtId="0" fontId="0" fillId="0" borderId="33" xfId="0" applyFont="1" applyFill="1" applyBorder="1"/>
    <xf numFmtId="169" fontId="0" fillId="0" borderId="33" xfId="133" applyNumberFormat="1" applyFont="1" applyFill="1" applyBorder="1"/>
    <xf numFmtId="169" fontId="52" fillId="0" borderId="0" xfId="0" applyNumberFormat="1" applyFont="1" applyFill="1"/>
    <xf numFmtId="44" fontId="0" fillId="0" borderId="0" xfId="133" applyFont="1" applyFill="1" applyBorder="1"/>
    <xf numFmtId="0" fontId="42" fillId="0" borderId="0" xfId="0" applyFont="1" applyFill="1" applyBorder="1"/>
    <xf numFmtId="44" fontId="42" fillId="0" borderId="0" xfId="133" applyFont="1" applyFill="1" applyBorder="1"/>
    <xf numFmtId="44" fontId="53" fillId="0" borderId="0" xfId="0" applyNumberFormat="1" applyFont="1" applyFill="1" applyBorder="1"/>
    <xf numFmtId="0" fontId="55" fillId="0" borderId="0" xfId="0" applyFont="1" applyFill="1" applyBorder="1"/>
    <xf numFmtId="0" fontId="29" fillId="0" borderId="0" xfId="0" applyFont="1" applyFill="1" applyBorder="1" applyAlignment="1">
      <alignment horizontal="center"/>
    </xf>
    <xf numFmtId="0" fontId="22" fillId="0" borderId="0" xfId="0" applyFont="1" applyFill="1" applyBorder="1" applyAlignment="1">
      <alignment horizontal="center"/>
    </xf>
    <xf numFmtId="43" fontId="29" fillId="0" borderId="0" xfId="152" applyFont="1" applyFill="1" applyBorder="1"/>
    <xf numFmtId="179" fontId="29" fillId="0" borderId="0" xfId="0" applyNumberFormat="1" applyFont="1" applyFill="1" applyBorder="1"/>
    <xf numFmtId="44" fontId="29" fillId="0" borderId="0" xfId="133" applyFont="1" applyFill="1" applyBorder="1"/>
    <xf numFmtId="0" fontId="29" fillId="0" borderId="0" xfId="0" applyFont="1" applyFill="1" applyBorder="1" applyAlignment="1"/>
    <xf numFmtId="43" fontId="29" fillId="0" borderId="0" xfId="152" applyFont="1" applyFill="1" applyBorder="1" applyAlignment="1"/>
    <xf numFmtId="179" fontId="29" fillId="0" borderId="0" xfId="0" applyNumberFormat="1" applyFont="1" applyFill="1" applyBorder="1" applyAlignment="1"/>
    <xf numFmtId="44" fontId="29" fillId="0" borderId="0" xfId="133" applyFont="1" applyFill="1" applyBorder="1" applyAlignment="1"/>
    <xf numFmtId="0" fontId="22" fillId="0" borderId="0" xfId="0" applyFont="1" applyFill="1" applyBorder="1"/>
    <xf numFmtId="0" fontId="29" fillId="0" borderId="0" xfId="0" applyFont="1" applyFill="1" applyBorder="1" applyAlignment="1">
      <alignment horizontal="left"/>
    </xf>
    <xf numFmtId="43" fontId="22" fillId="0" borderId="0" xfId="0" applyNumberFormat="1" applyFont="1" applyFill="1" applyBorder="1"/>
    <xf numFmtId="44" fontId="22" fillId="0" borderId="0" xfId="0" applyNumberFormat="1" applyFont="1" applyFill="1" applyBorder="1"/>
    <xf numFmtId="43" fontId="29" fillId="0" borderId="0" xfId="0" applyNumberFormat="1" applyFont="1" applyFill="1" applyBorder="1"/>
    <xf numFmtId="0" fontId="0" fillId="0" borderId="0" xfId="0"/>
    <xf numFmtId="44" fontId="29" fillId="0" borderId="0" xfId="0" applyNumberFormat="1" applyFont="1" applyFill="1" applyBorder="1"/>
    <xf numFmtId="37" fontId="0" fillId="0" borderId="0" xfId="133" applyNumberFormat="1" applyFont="1" applyBorder="1"/>
    <xf numFmtId="37" fontId="22" fillId="0" borderId="0" xfId="0" applyNumberFormat="1" applyFont="1" applyFill="1" applyBorder="1"/>
    <xf numFmtId="0" fontId="22" fillId="0" borderId="0" xfId="0" applyFont="1" applyFill="1" applyBorder="1" applyAlignment="1"/>
    <xf numFmtId="0" fontId="0" fillId="0" borderId="0" xfId="0"/>
    <xf numFmtId="179" fontId="22" fillId="0" borderId="0" xfId="0" applyNumberFormat="1" applyFont="1" applyFill="1" applyBorder="1"/>
    <xf numFmtId="43" fontId="22" fillId="0" borderId="0" xfId="152" applyFont="1" applyFill="1" applyBorder="1"/>
    <xf numFmtId="44" fontId="22" fillId="0" borderId="0" xfId="133" applyFont="1" applyFill="1" applyBorder="1"/>
    <xf numFmtId="0" fontId="0" fillId="0" borderId="0" xfId="0"/>
    <xf numFmtId="0" fontId="0" fillId="0" borderId="0" xfId="0" applyFont="1"/>
    <xf numFmtId="6" fontId="29" fillId="0" borderId="0" xfId="133" applyNumberFormat="1" applyFont="1" applyFill="1" applyBorder="1"/>
    <xf numFmtId="6" fontId="29" fillId="0" borderId="0" xfId="0" applyNumberFormat="1" applyFont="1" applyFill="1" applyBorder="1"/>
    <xf numFmtId="6" fontId="42" fillId="0" borderId="0" xfId="0" applyNumberFormat="1" applyFont="1" applyFill="1" applyBorder="1"/>
    <xf numFmtId="0" fontId="54" fillId="0" borderId="0" xfId="0" applyFont="1" applyFill="1" applyBorder="1"/>
    <xf numFmtId="1" fontId="29" fillId="0" borderId="0" xfId="0" applyNumberFormat="1" applyFont="1" applyFill="1" applyBorder="1"/>
    <xf numFmtId="1" fontId="29" fillId="0" borderId="0" xfId="133" applyNumberFormat="1" applyFont="1" applyFill="1" applyBorder="1"/>
    <xf numFmtId="44" fontId="3" fillId="0" borderId="0" xfId="0" applyNumberFormat="1" applyFont="1" applyFill="1"/>
    <xf numFmtId="0" fontId="56" fillId="0" borderId="0" xfId="0" applyFont="1"/>
    <xf numFmtId="0" fontId="42" fillId="0" borderId="0" xfId="0" applyFont="1" applyAlignment="1">
      <alignment horizontal="left"/>
    </xf>
    <xf numFmtId="3" fontId="23" fillId="0" borderId="0" xfId="3" applyNumberFormat="1" applyFont="1"/>
    <xf numFmtId="0" fontId="23" fillId="0" borderId="34" xfId="3" applyFont="1" applyBorder="1"/>
    <xf numFmtId="172" fontId="23" fillId="0" borderId="34" xfId="3" applyNumberFormat="1" applyFont="1" applyBorder="1"/>
    <xf numFmtId="169" fontId="3" fillId="0" borderId="0" xfId="0" applyNumberFormat="1" applyFont="1" applyFill="1" applyBorder="1" applyAlignment="1">
      <alignment horizontal="right"/>
    </xf>
    <xf numFmtId="169" fontId="0" fillId="0" borderId="0" xfId="0" applyNumberFormat="1" applyFill="1" applyBorder="1"/>
    <xf numFmtId="39" fontId="0" fillId="0" borderId="0" xfId="0" applyNumberFormat="1" applyFill="1" applyBorder="1"/>
    <xf numFmtId="39" fontId="0" fillId="0" borderId="17" xfId="0" applyNumberFormat="1" applyFont="1" applyFill="1" applyBorder="1"/>
    <xf numFmtId="167" fontId="0" fillId="0" borderId="0" xfId="150" applyNumberFormat="1" applyFont="1" applyFill="1" applyBorder="1" applyAlignment="1">
      <alignment horizontal="left"/>
    </xf>
    <xf numFmtId="0" fontId="3" fillId="0" borderId="35" xfId="0" applyFont="1" applyBorder="1" applyAlignment="1">
      <alignment horizontal="left"/>
    </xf>
    <xf numFmtId="0" fontId="3" fillId="0" borderId="35" xfId="0" applyFont="1" applyBorder="1"/>
    <xf numFmtId="180" fontId="3" fillId="0" borderId="35" xfId="0" applyNumberFormat="1" applyFont="1" applyFill="1" applyBorder="1"/>
    <xf numFmtId="166" fontId="0" fillId="0" borderId="0" xfId="0" applyNumberFormat="1" applyFont="1"/>
    <xf numFmtId="0" fontId="0" fillId="0" borderId="19" xfId="0" applyBorder="1"/>
    <xf numFmtId="0" fontId="0" fillId="0" borderId="22" xfId="0" applyBorder="1"/>
    <xf numFmtId="165" fontId="0" fillId="0" borderId="16" xfId="0" applyNumberFormat="1" applyBorder="1"/>
    <xf numFmtId="165" fontId="0" fillId="0" borderId="21" xfId="0" applyNumberFormat="1" applyBorder="1"/>
    <xf numFmtId="0" fontId="0" fillId="0" borderId="0" xfId="0" applyAlignment="1">
      <alignment horizontal="center"/>
    </xf>
    <xf numFmtId="0" fontId="0" fillId="37" borderId="36" xfId="0" applyFill="1" applyBorder="1"/>
    <xf numFmtId="0" fontId="3" fillId="37" borderId="36" xfId="0" applyFont="1" applyFill="1" applyBorder="1" applyAlignment="1">
      <alignment horizontal="center" wrapText="1"/>
    </xf>
    <xf numFmtId="0" fontId="3" fillId="0" borderId="36" xfId="0" applyFont="1" applyBorder="1"/>
    <xf numFmtId="165" fontId="0" fillId="0" borderId="36" xfId="0" applyNumberFormat="1" applyBorder="1"/>
    <xf numFmtId="165" fontId="3" fillId="0" borderId="36" xfId="0" applyNumberFormat="1" applyFont="1" applyBorder="1"/>
    <xf numFmtId="0" fontId="0" fillId="0" borderId="36" xfId="0" applyBorder="1" applyAlignment="1">
      <alignment horizontal="left" indent="2"/>
    </xf>
    <xf numFmtId="44" fontId="29" fillId="0" borderId="0" xfId="133" applyNumberFormat="1" applyFont="1" applyAlignment="1">
      <alignment horizontal="right"/>
    </xf>
    <xf numFmtId="168" fontId="3" fillId="0" borderId="17" xfId="0" applyNumberFormat="1" applyFont="1" applyBorder="1"/>
    <xf numFmtId="44" fontId="0" fillId="0" borderId="0" xfId="0" applyNumberFormat="1" applyFill="1"/>
    <xf numFmtId="2" fontId="0" fillId="0" borderId="0" xfId="0" applyNumberFormat="1" applyFill="1"/>
    <xf numFmtId="0" fontId="0" fillId="0" borderId="0" xfId="0" applyFill="1" applyAlignment="1">
      <alignment horizontal="center"/>
    </xf>
    <xf numFmtId="0" fontId="0" fillId="0" borderId="36" xfId="0" applyBorder="1"/>
    <xf numFmtId="0" fontId="0" fillId="40" borderId="36" xfId="0" applyFill="1" applyBorder="1"/>
    <xf numFmtId="0" fontId="3" fillId="40" borderId="36" xfId="0" applyFont="1" applyFill="1" applyBorder="1"/>
    <xf numFmtId="0" fontId="3" fillId="0" borderId="36" xfId="0" applyFont="1" applyBorder="1" applyAlignment="1">
      <alignment horizontal="right"/>
    </xf>
    <xf numFmtId="167" fontId="0" fillId="0" borderId="36" xfId="0" applyNumberFormat="1" applyBorder="1" applyAlignment="1">
      <alignment horizontal="center"/>
    </xf>
    <xf numFmtId="166" fontId="0" fillId="0" borderId="36" xfId="0" applyNumberFormat="1" applyBorder="1" applyAlignment="1">
      <alignment horizontal="center"/>
    </xf>
    <xf numFmtId="0" fontId="3" fillId="40" borderId="36" xfId="0" applyFont="1" applyFill="1" applyBorder="1" applyAlignment="1">
      <alignment horizontal="center"/>
    </xf>
    <xf numFmtId="0" fontId="0" fillId="40" borderId="36" xfId="0" applyFill="1" applyBorder="1" applyAlignment="1">
      <alignment vertical="center"/>
    </xf>
    <xf numFmtId="0" fontId="3" fillId="40" borderId="36" xfId="0" applyFont="1" applyFill="1" applyBorder="1" applyAlignment="1">
      <alignment horizontal="center" vertical="center"/>
    </xf>
    <xf numFmtId="0" fontId="0" fillId="0" borderId="36" xfId="0" applyBorder="1" applyAlignment="1">
      <alignment horizontal="center"/>
    </xf>
    <xf numFmtId="2" fontId="0" fillId="0" borderId="36" xfId="0" applyNumberFormat="1" applyBorder="1" applyAlignment="1">
      <alignment horizontal="center"/>
    </xf>
    <xf numFmtId="0" fontId="57" fillId="0" borderId="37" xfId="0" applyFont="1" applyBorder="1"/>
    <xf numFmtId="0" fontId="59" fillId="0" borderId="38" xfId="0" applyFont="1" applyBorder="1" applyAlignment="1">
      <alignment vertical="center"/>
    </xf>
    <xf numFmtId="0" fontId="59" fillId="0" borderId="26" xfId="0" applyFont="1" applyBorder="1" applyAlignment="1">
      <alignment horizontal="left" vertical="center" wrapText="1"/>
    </xf>
    <xf numFmtId="0" fontId="59" fillId="0" borderId="0" xfId="0" applyFont="1" applyBorder="1" applyAlignment="1">
      <alignment horizontal="left" vertical="center" wrapText="1"/>
    </xf>
    <xf numFmtId="0" fontId="59" fillId="0" borderId="16" xfId="0" applyFont="1" applyBorder="1" applyAlignment="1">
      <alignment horizontal="left" vertical="center" wrapText="1"/>
    </xf>
    <xf numFmtId="0" fontId="58" fillId="39" borderId="38" xfId="0" applyFont="1" applyFill="1" applyBorder="1"/>
    <xf numFmtId="0" fontId="58" fillId="39" borderId="26" xfId="0" applyFont="1" applyFill="1" applyBorder="1"/>
    <xf numFmtId="0" fontId="58" fillId="39" borderId="0" xfId="0" applyFont="1" applyFill="1" applyBorder="1"/>
    <xf numFmtId="0" fontId="58" fillId="39" borderId="16" xfId="0" applyFont="1" applyFill="1" applyBorder="1"/>
    <xf numFmtId="0" fontId="57" fillId="0" borderId="38" xfId="0" applyFont="1" applyBorder="1"/>
    <xf numFmtId="167" fontId="57" fillId="0" borderId="26" xfId="0" applyNumberFormat="1" applyFont="1" applyBorder="1"/>
    <xf numFmtId="165" fontId="57" fillId="0" borderId="0" xfId="0" applyNumberFormat="1" applyFont="1" applyBorder="1"/>
    <xf numFmtId="165" fontId="57" fillId="0" borderId="16" xfId="0" applyNumberFormat="1" applyFont="1" applyBorder="1"/>
    <xf numFmtId="167" fontId="57" fillId="0" borderId="0" xfId="0" applyNumberFormat="1" applyFont="1" applyBorder="1"/>
    <xf numFmtId="0" fontId="59" fillId="36" borderId="38" xfId="0" applyFont="1" applyFill="1" applyBorder="1"/>
    <xf numFmtId="1" fontId="59" fillId="36" borderId="26" xfId="0" applyNumberFormat="1" applyFont="1" applyFill="1" applyBorder="1"/>
    <xf numFmtId="165" fontId="59" fillId="36" borderId="0" xfId="0" applyNumberFormat="1" applyFont="1" applyFill="1" applyBorder="1"/>
    <xf numFmtId="165" fontId="59" fillId="36" borderId="16" xfId="0" applyNumberFormat="1" applyFont="1" applyFill="1" applyBorder="1"/>
    <xf numFmtId="1" fontId="59" fillId="36" borderId="0" xfId="0" applyNumberFormat="1" applyFont="1" applyFill="1" applyBorder="1"/>
    <xf numFmtId="0" fontId="57" fillId="0" borderId="26" xfId="0" applyFont="1" applyBorder="1"/>
    <xf numFmtId="0" fontId="57" fillId="0" borderId="0" xfId="0" applyFont="1" applyBorder="1"/>
    <xf numFmtId="0" fontId="57" fillId="0" borderId="16" xfId="0" applyFont="1" applyBorder="1"/>
    <xf numFmtId="0" fontId="59" fillId="36" borderId="18" xfId="0" applyFont="1" applyFill="1" applyBorder="1"/>
    <xf numFmtId="1" fontId="59" fillId="36" borderId="14" xfId="0" applyNumberFormat="1" applyFont="1" applyFill="1" applyBorder="1"/>
    <xf numFmtId="165" fontId="59" fillId="36" borderId="17" xfId="0" applyNumberFormat="1" applyFont="1" applyFill="1" applyBorder="1"/>
    <xf numFmtId="165" fontId="59" fillId="36" borderId="21" xfId="0" applyNumberFormat="1" applyFont="1" applyFill="1" applyBorder="1"/>
    <xf numFmtId="1" fontId="59" fillId="36" borderId="17" xfId="0" applyNumberFormat="1" applyFont="1" applyFill="1" applyBorder="1"/>
    <xf numFmtId="0" fontId="0" fillId="0" borderId="0" xfId="0" applyAlignment="1">
      <alignment horizontal="center" vertical="center"/>
    </xf>
    <xf numFmtId="0" fontId="0" fillId="24" borderId="37" xfId="0" applyFill="1" applyBorder="1"/>
    <xf numFmtId="0" fontId="0" fillId="24" borderId="38" xfId="0" applyFill="1" applyBorder="1"/>
    <xf numFmtId="0" fontId="0" fillId="24" borderId="18" xfId="0" applyFill="1" applyBorder="1"/>
    <xf numFmtId="0" fontId="0" fillId="0" borderId="36" xfId="0" applyBorder="1" applyAlignment="1">
      <alignment horizontal="left"/>
    </xf>
    <xf numFmtId="0" fontId="0" fillId="0" borderId="36" xfId="0" applyBorder="1" applyAlignment="1">
      <alignment vertical="center" wrapText="1"/>
    </xf>
    <xf numFmtId="0" fontId="0" fillId="0" borderId="36" xfId="0" applyBorder="1" applyAlignment="1">
      <alignment horizontal="center" vertical="center" wrapText="1"/>
    </xf>
    <xf numFmtId="0" fontId="3" fillId="33" borderId="36" xfId="0" applyFont="1" applyFill="1" applyBorder="1" applyAlignment="1">
      <alignment horizontal="center" vertical="center" wrapText="1"/>
    </xf>
    <xf numFmtId="0" fontId="60" fillId="0" borderId="0" xfId="0" applyFont="1" applyAlignment="1">
      <alignment horizontal="left" vertical="center" wrapText="1"/>
    </xf>
    <xf numFmtId="166" fontId="0" fillId="0" borderId="0" xfId="0" applyNumberFormat="1" applyFont="1" applyFill="1" applyBorder="1"/>
    <xf numFmtId="0" fontId="3" fillId="0" borderId="36" xfId="0" applyFont="1" applyFill="1" applyBorder="1"/>
    <xf numFmtId="165" fontId="3" fillId="0" borderId="36" xfId="0" applyNumberFormat="1" applyFont="1" applyFill="1" applyBorder="1"/>
    <xf numFmtId="0" fontId="0" fillId="0" borderId="0" xfId="0" applyBorder="1" applyAlignment="1">
      <alignment horizontal="left" vertical="center"/>
    </xf>
    <xf numFmtId="0" fontId="0" fillId="0" borderId="42" xfId="0" applyBorder="1"/>
    <xf numFmtId="0" fontId="0" fillId="0" borderId="43" xfId="0" applyBorder="1"/>
    <xf numFmtId="0" fontId="0" fillId="0" borderId="44" xfId="0" applyBorder="1"/>
    <xf numFmtId="3" fontId="3" fillId="0" borderId="45" xfId="0" applyNumberFormat="1" applyFont="1" applyBorder="1"/>
    <xf numFmtId="3" fontId="3" fillId="0" borderId="0" xfId="0" applyNumberFormat="1" applyFont="1" applyBorder="1"/>
    <xf numFmtId="3" fontId="3" fillId="0" borderId="46" xfId="0" applyNumberFormat="1" applyFont="1" applyBorder="1"/>
    <xf numFmtId="0" fontId="0" fillId="0" borderId="45" xfId="0" applyBorder="1"/>
    <xf numFmtId="0" fontId="0" fillId="0" borderId="46" xfId="0" applyBorder="1"/>
    <xf numFmtId="3" fontId="0" fillId="0" borderId="45" xfId="0" applyNumberFormat="1" applyBorder="1"/>
    <xf numFmtId="3" fontId="0" fillId="0" borderId="46" xfId="0" applyNumberFormat="1" applyBorder="1"/>
    <xf numFmtId="0" fontId="0" fillId="0" borderId="47" xfId="0" applyBorder="1"/>
    <xf numFmtId="0" fontId="0" fillId="0" borderId="48" xfId="0" applyBorder="1"/>
    <xf numFmtId="0" fontId="0" fillId="0" borderId="49" xfId="0" applyBorder="1"/>
    <xf numFmtId="0" fontId="3" fillId="41" borderId="45" xfId="0" applyFont="1" applyFill="1" applyBorder="1"/>
    <xf numFmtId="0" fontId="3" fillId="41" borderId="0" xfId="0" applyFont="1" applyFill="1" applyBorder="1"/>
    <xf numFmtId="0" fontId="3" fillId="41" borderId="46" xfId="0" applyFont="1" applyFill="1" applyBorder="1"/>
    <xf numFmtId="3" fontId="0" fillId="0" borderId="50" xfId="0" applyNumberFormat="1" applyBorder="1"/>
    <xf numFmtId="3" fontId="0" fillId="0" borderId="51" xfId="0" applyNumberFormat="1" applyBorder="1"/>
    <xf numFmtId="3" fontId="0" fillId="0" borderId="50" xfId="0" applyNumberFormat="1" applyFont="1" applyBorder="1"/>
    <xf numFmtId="3" fontId="0" fillId="0" borderId="17" xfId="0" applyNumberFormat="1" applyFont="1" applyBorder="1"/>
    <xf numFmtId="3" fontId="0" fillId="0" borderId="51" xfId="0" applyNumberFormat="1" applyFont="1" applyBorder="1"/>
    <xf numFmtId="181" fontId="32" fillId="0" borderId="0" xfId="0" applyNumberFormat="1" applyFont="1" applyFill="1"/>
    <xf numFmtId="3" fontId="0" fillId="42" borderId="0" xfId="0" applyNumberFormat="1" applyFill="1" applyBorder="1"/>
    <xf numFmtId="3" fontId="0" fillId="43" borderId="0" xfId="0" applyNumberFormat="1" applyFill="1" applyBorder="1"/>
    <xf numFmtId="3" fontId="0" fillId="43" borderId="46" xfId="0" applyNumberFormat="1" applyFill="1" applyBorder="1"/>
    <xf numFmtId="3" fontId="0" fillId="42" borderId="45" xfId="0" applyNumberFormat="1" applyFill="1" applyBorder="1"/>
    <xf numFmtId="0" fontId="32" fillId="42" borderId="0" xfId="0" applyFont="1" applyFill="1"/>
    <xf numFmtId="0" fontId="0" fillId="43" borderId="0" xfId="0" applyFill="1"/>
    <xf numFmtId="0" fontId="0" fillId="0" borderId="0" xfId="0" applyFill="1" applyAlignment="1">
      <alignment horizontal="right"/>
    </xf>
    <xf numFmtId="42" fontId="0" fillId="0" borderId="0" xfId="0" applyNumberFormat="1" applyBorder="1"/>
    <xf numFmtId="169" fontId="0" fillId="0" borderId="0" xfId="133" applyNumberFormat="1" applyFont="1" applyBorder="1" applyAlignment="1">
      <alignment horizontal="center"/>
    </xf>
    <xf numFmtId="3" fontId="29" fillId="0" borderId="0" xfId="0" applyNumberFormat="1" applyFont="1" applyBorder="1"/>
    <xf numFmtId="167" fontId="0" fillId="0" borderId="0" xfId="0" applyNumberFormat="1" applyFill="1" applyBorder="1"/>
    <xf numFmtId="166" fontId="0" fillId="0" borderId="0" xfId="0" applyNumberFormat="1" applyBorder="1"/>
    <xf numFmtId="169" fontId="0" fillId="0" borderId="0" xfId="133" applyNumberFormat="1" applyFont="1" applyBorder="1" applyAlignment="1">
      <alignment horizontal="right"/>
    </xf>
    <xf numFmtId="169" fontId="0" fillId="0" borderId="0" xfId="133" applyNumberFormat="1" applyFont="1" applyFill="1" applyBorder="1" applyAlignment="1">
      <alignment horizontal="right"/>
    </xf>
    <xf numFmtId="169" fontId="0" fillId="0" borderId="0" xfId="133" applyNumberFormat="1" applyFont="1" applyFill="1" applyBorder="1" applyAlignment="1">
      <alignment horizontal="center"/>
    </xf>
    <xf numFmtId="1" fontId="0" fillId="0" borderId="0" xfId="0" applyNumberFormat="1" applyFill="1" applyBorder="1" applyAlignment="1">
      <alignment horizontal="center"/>
    </xf>
    <xf numFmtId="49" fontId="0" fillId="0" borderId="0" xfId="0" applyNumberFormat="1" applyFill="1" applyBorder="1"/>
    <xf numFmtId="0" fontId="0" fillId="0" borderId="0" xfId="0"/>
    <xf numFmtId="42" fontId="0" fillId="0" borderId="0" xfId="0" applyNumberFormat="1" applyFill="1"/>
    <xf numFmtId="0" fontId="0" fillId="0" borderId="0" xfId="0" applyFill="1"/>
    <xf numFmtId="165" fontId="0" fillId="0" borderId="0" xfId="0" applyNumberFormat="1"/>
    <xf numFmtId="42" fontId="0" fillId="0" borderId="0" xfId="0" applyNumberFormat="1"/>
    <xf numFmtId="0" fontId="3" fillId="0" borderId="0" xfId="0" applyFont="1"/>
    <xf numFmtId="44" fontId="0" fillId="0" borderId="0" xfId="0" applyNumberFormat="1"/>
    <xf numFmtId="0" fontId="0" fillId="0" borderId="0" xfId="0" applyAlignment="1">
      <alignment horizontal="right"/>
    </xf>
    <xf numFmtId="0" fontId="0" fillId="0" borderId="0" xfId="0" applyFont="1"/>
    <xf numFmtId="0" fontId="0" fillId="0" borderId="0" xfId="0" applyBorder="1"/>
    <xf numFmtId="0" fontId="0" fillId="0" borderId="0" xfId="0" applyFill="1" applyBorder="1"/>
    <xf numFmtId="0" fontId="0" fillId="0" borderId="17" xfId="0" applyBorder="1"/>
    <xf numFmtId="0" fontId="3" fillId="0" borderId="0" xfId="0" applyFont="1" applyBorder="1"/>
    <xf numFmtId="2" fontId="0" fillId="0" borderId="0" xfId="0" applyNumberFormat="1"/>
    <xf numFmtId="3" fontId="0" fillId="0" borderId="0" xfId="0" applyNumberFormat="1" applyFill="1"/>
    <xf numFmtId="166" fontId="0" fillId="0" borderId="0" xfId="0" applyNumberFormat="1"/>
    <xf numFmtId="168" fontId="0" fillId="0" borderId="0" xfId="0" applyNumberFormat="1"/>
    <xf numFmtId="3" fontId="0" fillId="0" borderId="0" xfId="0" applyNumberFormat="1"/>
    <xf numFmtId="167" fontId="0" fillId="0" borderId="0" xfId="0" applyNumberFormat="1" applyFill="1"/>
    <xf numFmtId="0" fontId="0" fillId="0" borderId="20" xfId="0" applyBorder="1"/>
    <xf numFmtId="0" fontId="0" fillId="0" borderId="20" xfId="0" applyBorder="1" applyAlignment="1">
      <alignment horizontal="left" vertical="center"/>
    </xf>
    <xf numFmtId="0" fontId="0" fillId="0" borderId="0" xfId="0" applyAlignment="1">
      <alignment vertical="center"/>
    </xf>
    <xf numFmtId="0" fontId="0" fillId="0" borderId="0" xfId="0" applyFont="1" applyFill="1"/>
    <xf numFmtId="0" fontId="0" fillId="0" borderId="17" xfId="0" applyFill="1" applyBorder="1"/>
    <xf numFmtId="0" fontId="32" fillId="0" borderId="0" xfId="0" applyFont="1"/>
    <xf numFmtId="0" fontId="0" fillId="0" borderId="17" xfId="0" applyFont="1" applyFill="1" applyBorder="1"/>
    <xf numFmtId="169" fontId="0" fillId="0" borderId="0" xfId="133" applyNumberFormat="1" applyFont="1"/>
    <xf numFmtId="3" fontId="29" fillId="0" borderId="0" xfId="0" applyNumberFormat="1" applyFont="1"/>
    <xf numFmtId="169" fontId="0" fillId="0" borderId="0" xfId="133" applyNumberFormat="1" applyFont="1" applyFill="1" applyBorder="1"/>
    <xf numFmtId="0" fontId="0" fillId="0" borderId="0" xfId="0" applyBorder="1" applyAlignment="1">
      <alignment vertical="center"/>
    </xf>
    <xf numFmtId="0" fontId="0" fillId="0" borderId="0" xfId="0" applyBorder="1" applyAlignment="1">
      <alignment horizontal="left" vertical="center"/>
    </xf>
    <xf numFmtId="169" fontId="0" fillId="0" borderId="0" xfId="133" applyNumberFormat="1" applyFont="1" applyBorder="1"/>
    <xf numFmtId="169" fontId="0" fillId="0" borderId="20" xfId="133" applyNumberFormat="1" applyFont="1" applyBorder="1"/>
    <xf numFmtId="0" fontId="0" fillId="0" borderId="0" xfId="0" applyFill="1" applyBorder="1" applyAlignment="1">
      <alignment horizontal="left" vertical="center"/>
    </xf>
    <xf numFmtId="169" fontId="29" fillId="0" borderId="0" xfId="133" applyNumberFormat="1" applyFont="1" applyFill="1" applyBorder="1"/>
    <xf numFmtId="10" fontId="29" fillId="0" borderId="0" xfId="0" applyNumberFormat="1" applyFont="1" applyFill="1" applyBorder="1"/>
    <xf numFmtId="0" fontId="0" fillId="0" borderId="0" xfId="0" applyFill="1" applyBorder="1" applyAlignment="1">
      <alignment horizontal="center"/>
    </xf>
    <xf numFmtId="3" fontId="0" fillId="0" borderId="17" xfId="0" applyNumberFormat="1" applyFill="1" applyBorder="1"/>
    <xf numFmtId="0" fontId="3" fillId="0" borderId="0" xfId="0" applyFont="1" applyFill="1" applyBorder="1"/>
    <xf numFmtId="0" fontId="29" fillId="0" borderId="0" xfId="0" applyFont="1" applyFill="1" applyBorder="1"/>
    <xf numFmtId="169" fontId="0" fillId="0" borderId="0" xfId="133" applyNumberFormat="1" applyFont="1" applyAlignment="1">
      <alignment horizontal="right"/>
    </xf>
    <xf numFmtId="169" fontId="0" fillId="0" borderId="0" xfId="133" applyNumberFormat="1" applyFont="1" applyAlignment="1">
      <alignment horizontal="center"/>
    </xf>
    <xf numFmtId="42" fontId="0" fillId="0" borderId="17" xfId="0" applyNumberFormat="1" applyFill="1" applyBorder="1"/>
    <xf numFmtId="0" fontId="0" fillId="0" borderId="0" xfId="0" applyBorder="1" applyAlignment="1" applyProtection="1">
      <alignment horizontal="left" vertical="center"/>
      <protection locked="0"/>
    </xf>
    <xf numFmtId="0" fontId="0" fillId="0" borderId="0" xfId="0" applyBorder="1" applyProtection="1">
      <protection locked="0"/>
    </xf>
    <xf numFmtId="44" fontId="0" fillId="0" borderId="0" xfId="133" applyNumberFormat="1" applyFont="1" applyBorder="1"/>
    <xf numFmtId="0" fontId="3" fillId="29" borderId="27" xfId="0" applyFont="1" applyFill="1" applyBorder="1" applyAlignment="1">
      <alignment wrapText="1"/>
    </xf>
    <xf numFmtId="10" fontId="0" fillId="30" borderId="28" xfId="0" applyNumberFormat="1" applyFill="1" applyBorder="1"/>
    <xf numFmtId="0" fontId="0" fillId="30" borderId="29" xfId="0" applyFill="1" applyBorder="1"/>
    <xf numFmtId="0" fontId="0" fillId="0" borderId="0" xfId="0"/>
    <xf numFmtId="0" fontId="0" fillId="0" borderId="0" xfId="0" applyFill="1"/>
    <xf numFmtId="0" fontId="3" fillId="0" borderId="0" xfId="0" applyFont="1"/>
    <xf numFmtId="0" fontId="32" fillId="0" borderId="0" xfId="0" applyFont="1"/>
    <xf numFmtId="169" fontId="0" fillId="0" borderId="0" xfId="133" applyNumberFormat="1" applyFont="1" applyFill="1" applyBorder="1"/>
    <xf numFmtId="0" fontId="0" fillId="0" borderId="0" xfId="0" applyBorder="1" applyAlignment="1">
      <alignment vertical="center"/>
    </xf>
    <xf numFmtId="0" fontId="0" fillId="0" borderId="0" xfId="0" applyBorder="1" applyAlignment="1">
      <alignment horizontal="left" vertical="center"/>
    </xf>
    <xf numFmtId="169" fontId="29" fillId="0" borderId="0" xfId="133" applyNumberFormat="1" applyFont="1" applyFill="1" applyBorder="1"/>
    <xf numFmtId="10" fontId="29" fillId="0" borderId="0" xfId="0" applyNumberFormat="1" applyFont="1" applyFill="1" applyBorder="1"/>
    <xf numFmtId="0" fontId="0" fillId="0" borderId="0" xfId="0" applyBorder="1" applyAlignment="1" applyProtection="1">
      <alignment horizontal="left" vertical="center"/>
      <protection locked="0"/>
    </xf>
    <xf numFmtId="10" fontId="0" fillId="30" borderId="28" xfId="0" applyNumberFormat="1" applyFill="1" applyBorder="1"/>
    <xf numFmtId="0" fontId="0" fillId="0" borderId="0" xfId="0" applyBorder="1" applyAlignment="1">
      <alignment horizontal="left" vertical="center"/>
    </xf>
    <xf numFmtId="0" fontId="0" fillId="30" borderId="0" xfId="0" applyFill="1" applyBorder="1"/>
    <xf numFmtId="2" fontId="3" fillId="0" borderId="0" xfId="0" applyNumberFormat="1" applyFont="1" applyBorder="1"/>
    <xf numFmtId="0" fontId="33" fillId="0" borderId="0" xfId="134"/>
    <xf numFmtId="178" fontId="0" fillId="0" borderId="0" xfId="0" applyNumberFormat="1" applyFill="1"/>
    <xf numFmtId="178" fontId="3" fillId="0" borderId="0" xfId="0" applyNumberFormat="1" applyFont="1" applyFill="1"/>
    <xf numFmtId="165" fontId="3" fillId="0" borderId="0" xfId="0" applyNumberFormat="1" applyFont="1" applyFill="1"/>
    <xf numFmtId="0" fontId="0" fillId="0" borderId="0" xfId="0" applyBorder="1" applyAlignment="1">
      <alignment horizontal="left" vertical="center"/>
    </xf>
    <xf numFmtId="0" fontId="0" fillId="0" borderId="0" xfId="0" applyAlignment="1">
      <alignment horizontal="center"/>
    </xf>
    <xf numFmtId="37" fontId="0" fillId="0" borderId="0" xfId="0" applyNumberFormat="1" applyFill="1"/>
    <xf numFmtId="44" fontId="0" fillId="0" borderId="0" xfId="133" applyNumberFormat="1" applyFont="1" applyFill="1" applyBorder="1"/>
    <xf numFmtId="0" fontId="0" fillId="0" borderId="0" xfId="0"/>
    <xf numFmtId="0" fontId="0" fillId="0" borderId="0" xfId="0" applyFill="1"/>
    <xf numFmtId="0" fontId="3" fillId="0" borderId="0" xfId="0" applyFont="1"/>
    <xf numFmtId="44" fontId="0" fillId="0" borderId="0" xfId="0" applyNumberFormat="1"/>
    <xf numFmtId="0" fontId="0" fillId="0" borderId="0" xfId="0" applyAlignment="1">
      <alignment horizontal="right"/>
    </xf>
    <xf numFmtId="0" fontId="0" fillId="0" borderId="0" xfId="0" applyBorder="1"/>
    <xf numFmtId="0" fontId="0" fillId="0" borderId="0" xfId="0" applyFill="1" applyBorder="1"/>
    <xf numFmtId="2" fontId="0" fillId="0" borderId="0" xfId="0" applyNumberFormat="1"/>
    <xf numFmtId="0" fontId="32" fillId="0" borderId="0" xfId="0" applyFont="1"/>
    <xf numFmtId="169" fontId="0" fillId="0" borderId="0" xfId="133" applyNumberFormat="1" applyFont="1" applyFill="1"/>
    <xf numFmtId="169" fontId="0" fillId="0" borderId="0" xfId="133" applyNumberFormat="1" applyFont="1" applyFill="1" applyBorder="1"/>
    <xf numFmtId="0" fontId="3" fillId="0" borderId="0" xfId="0" applyFont="1" applyFill="1" applyBorder="1"/>
    <xf numFmtId="37" fontId="3" fillId="0" borderId="0" xfId="0" applyNumberFormat="1" applyFont="1" applyFill="1"/>
    <xf numFmtId="2" fontId="0" fillId="0" borderId="0" xfId="0" applyNumberFormat="1" applyFill="1" applyBorder="1"/>
    <xf numFmtId="0" fontId="0" fillId="0" borderId="48" xfId="0" applyFill="1" applyBorder="1" applyAlignment="1">
      <alignment horizontal="center"/>
    </xf>
    <xf numFmtId="165" fontId="3" fillId="0" borderId="49" xfId="0" applyNumberFormat="1" applyFont="1" applyBorder="1"/>
    <xf numFmtId="169" fontId="3" fillId="0" borderId="17" xfId="133" applyNumberFormat="1" applyFont="1" applyBorder="1"/>
    <xf numFmtId="0" fontId="3" fillId="0" borderId="46" xfId="0" applyFont="1" applyBorder="1" applyAlignment="1">
      <alignment horizontal="right"/>
    </xf>
    <xf numFmtId="169" fontId="0" fillId="0" borderId="48" xfId="133" applyNumberFormat="1" applyFont="1" applyBorder="1"/>
    <xf numFmtId="0" fontId="3" fillId="0" borderId="0" xfId="0" applyFont="1" applyBorder="1" applyAlignment="1">
      <alignment horizontal="right"/>
    </xf>
    <xf numFmtId="165" fontId="3" fillId="0" borderId="48" xfId="0" applyNumberFormat="1" applyFont="1" applyBorder="1"/>
    <xf numFmtId="0" fontId="0" fillId="0" borderId="48" xfId="0" applyFill="1" applyBorder="1"/>
    <xf numFmtId="44" fontId="0" fillId="0" borderId="48" xfId="0" applyNumberFormat="1" applyFill="1" applyBorder="1"/>
    <xf numFmtId="0" fontId="3" fillId="0" borderId="45" xfId="0" applyFont="1" applyBorder="1"/>
    <xf numFmtId="0" fontId="0" fillId="0" borderId="0" xfId="0"/>
    <xf numFmtId="0" fontId="0" fillId="0" borderId="0" xfId="0" applyAlignment="1">
      <alignment horizontal="left"/>
    </xf>
    <xf numFmtId="42" fontId="0" fillId="0" borderId="0" xfId="0" applyNumberFormat="1" applyFill="1"/>
    <xf numFmtId="0" fontId="0" fillId="0" borderId="0" xfId="0" applyFill="1"/>
    <xf numFmtId="0" fontId="3" fillId="0" borderId="0" xfId="0" applyFont="1"/>
    <xf numFmtId="44" fontId="0" fillId="0" borderId="0" xfId="0" applyNumberFormat="1"/>
    <xf numFmtId="0" fontId="0" fillId="0" borderId="0" xfId="0" applyAlignment="1">
      <alignment horizontal="right"/>
    </xf>
    <xf numFmtId="0" fontId="0" fillId="0" borderId="0" xfId="0" applyBorder="1"/>
    <xf numFmtId="0" fontId="0" fillId="0" borderId="0" xfId="0" applyFill="1" applyBorder="1"/>
    <xf numFmtId="10" fontId="0" fillId="0" borderId="0" xfId="0" applyNumberFormat="1"/>
    <xf numFmtId="2" fontId="0" fillId="0" borderId="0" xfId="0" applyNumberFormat="1"/>
    <xf numFmtId="169" fontId="0" fillId="0" borderId="0" xfId="0" applyNumberFormat="1"/>
    <xf numFmtId="169" fontId="0" fillId="0" borderId="0" xfId="133" applyNumberFormat="1" applyFont="1" applyFill="1" applyBorder="1"/>
    <xf numFmtId="0" fontId="0" fillId="0" borderId="0" xfId="0" applyFill="1" applyBorder="1" applyAlignment="1">
      <alignment horizontal="center"/>
    </xf>
    <xf numFmtId="44" fontId="0" fillId="0" borderId="0" xfId="0" applyNumberFormat="1" applyFill="1" applyBorder="1"/>
    <xf numFmtId="0" fontId="0" fillId="0" borderId="0" xfId="0" applyAlignment="1">
      <alignment horizontal="center"/>
    </xf>
    <xf numFmtId="0" fontId="0" fillId="0" borderId="0" xfId="0"/>
    <xf numFmtId="0" fontId="0" fillId="0" borderId="0" xfId="0" applyFill="1"/>
    <xf numFmtId="42" fontId="0" fillId="0" borderId="0" xfId="0" applyNumberFormat="1"/>
    <xf numFmtId="0" fontId="3" fillId="0" borderId="0" xfId="0" applyFont="1"/>
    <xf numFmtId="0" fontId="0" fillId="0" borderId="0" xfId="0" applyAlignment="1">
      <alignment horizontal="right"/>
    </xf>
    <xf numFmtId="0" fontId="0" fillId="0" borderId="0" xfId="0" applyBorder="1"/>
    <xf numFmtId="165" fontId="0" fillId="0" borderId="17" xfId="0" applyNumberFormat="1" applyBorder="1"/>
    <xf numFmtId="165" fontId="0" fillId="0" borderId="0" xfId="0" applyNumberFormat="1" applyBorder="1"/>
    <xf numFmtId="168" fontId="0" fillId="0" borderId="0" xfId="0" applyNumberFormat="1"/>
    <xf numFmtId="42" fontId="3" fillId="0" borderId="0" xfId="0" applyNumberFormat="1" applyFont="1" applyFill="1"/>
    <xf numFmtId="1" fontId="3" fillId="0" borderId="0" xfId="0" applyNumberFormat="1" applyFont="1"/>
    <xf numFmtId="168" fontId="0" fillId="0" borderId="0" xfId="0" applyNumberFormat="1" applyAlignment="1">
      <alignment horizontal="right"/>
    </xf>
    <xf numFmtId="1" fontId="3" fillId="0" borderId="0" xfId="0" applyNumberFormat="1" applyFont="1" applyFill="1"/>
    <xf numFmtId="0" fontId="3" fillId="0" borderId="17" xfId="0" applyFont="1" applyBorder="1"/>
    <xf numFmtId="169" fontId="3" fillId="0" borderId="17" xfId="0" applyNumberFormat="1" applyFont="1" applyBorder="1"/>
    <xf numFmtId="169" fontId="0" fillId="0" borderId="0" xfId="133" applyNumberFormat="1" applyFont="1" applyFill="1"/>
    <xf numFmtId="169" fontId="0" fillId="0" borderId="17" xfId="0" applyNumberFormat="1" applyBorder="1"/>
    <xf numFmtId="169" fontId="0" fillId="0" borderId="0" xfId="133" applyNumberFormat="1" applyFont="1" applyFill="1" applyBorder="1"/>
    <xf numFmtId="169" fontId="29" fillId="0" borderId="0" xfId="133" applyNumberFormat="1" applyFont="1" applyFill="1" applyBorder="1" applyAlignment="1" applyProtection="1">
      <alignment horizontal="center"/>
    </xf>
    <xf numFmtId="0" fontId="62" fillId="27" borderId="0" xfId="0" applyFont="1" applyFill="1" applyBorder="1"/>
    <xf numFmtId="165" fontId="62" fillId="27" borderId="0" xfId="0" applyNumberFormat="1" applyFont="1" applyFill="1" applyBorder="1"/>
    <xf numFmtId="168" fontId="62" fillId="27" borderId="0" xfId="0" applyNumberFormat="1" applyFont="1" applyFill="1" applyBorder="1"/>
    <xf numFmtId="0" fontId="63" fillId="27" borderId="0" xfId="0" applyFont="1" applyFill="1" applyBorder="1"/>
    <xf numFmtId="168" fontId="63" fillId="27" borderId="0" xfId="0" applyNumberFormat="1" applyFont="1" applyFill="1" applyBorder="1"/>
    <xf numFmtId="167" fontId="0" fillId="0" borderId="12" xfId="0" applyNumberFormat="1" applyFill="1" applyBorder="1"/>
    <xf numFmtId="1" fontId="0" fillId="0" borderId="12" xfId="0" applyNumberFormat="1" applyFill="1" applyBorder="1"/>
    <xf numFmtId="0" fontId="64" fillId="41" borderId="0" xfId="0" applyFont="1" applyFill="1"/>
    <xf numFmtId="165" fontId="64" fillId="41" borderId="0" xfId="0" applyNumberFormat="1" applyFont="1" applyFill="1"/>
    <xf numFmtId="168" fontId="64" fillId="41" borderId="0" xfId="0" applyNumberFormat="1" applyFont="1" applyFill="1"/>
    <xf numFmtId="0" fontId="65" fillId="41" borderId="0" xfId="0" applyFont="1" applyFill="1"/>
    <xf numFmtId="168" fontId="65" fillId="41" borderId="0" xfId="0" applyNumberFormat="1" applyFont="1" applyFill="1"/>
    <xf numFmtId="168" fontId="0" fillId="0" borderId="36" xfId="0" applyNumberFormat="1" applyBorder="1"/>
    <xf numFmtId="0" fontId="0" fillId="0" borderId="61" xfId="0" applyBorder="1"/>
    <xf numFmtId="0" fontId="0" fillId="0" borderId="62" xfId="0" applyBorder="1"/>
    <xf numFmtId="165" fontId="0" fillId="0" borderId="62" xfId="0" applyNumberFormat="1" applyBorder="1"/>
    <xf numFmtId="0" fontId="0" fillId="0" borderId="64" xfId="0" applyBorder="1"/>
    <xf numFmtId="0" fontId="0" fillId="0" borderId="65" xfId="0" applyBorder="1"/>
    <xf numFmtId="0" fontId="0" fillId="35" borderId="43" xfId="0" applyFill="1" applyBorder="1"/>
    <xf numFmtId="0" fontId="0" fillId="35" borderId="44" xfId="0" applyFill="1" applyBorder="1"/>
    <xf numFmtId="0" fontId="3" fillId="35" borderId="42" xfId="0" applyFont="1" applyFill="1" applyBorder="1"/>
    <xf numFmtId="0" fontId="3" fillId="0" borderId="63" xfId="0" applyFont="1" applyFill="1" applyBorder="1"/>
    <xf numFmtId="0" fontId="3" fillId="0" borderId="64" xfId="0" applyFont="1" applyBorder="1"/>
    <xf numFmtId="0" fontId="3" fillId="0" borderId="62" xfId="0" applyFont="1" applyBorder="1"/>
    <xf numFmtId="0" fontId="3" fillId="0" borderId="61" xfId="0" applyFont="1" applyBorder="1"/>
    <xf numFmtId="165" fontId="3" fillId="0" borderId="62" xfId="0" applyNumberFormat="1" applyFont="1" applyBorder="1"/>
    <xf numFmtId="3" fontId="3" fillId="0" borderId="36" xfId="0" applyNumberFormat="1" applyFont="1" applyBorder="1"/>
    <xf numFmtId="167" fontId="3" fillId="0" borderId="36" xfId="0" applyNumberFormat="1" applyFont="1" applyBorder="1"/>
    <xf numFmtId="0" fontId="66" fillId="0" borderId="0" xfId="0" applyFont="1"/>
    <xf numFmtId="3" fontId="3" fillId="35" borderId="36" xfId="0" applyNumberFormat="1" applyFont="1" applyFill="1" applyBorder="1"/>
    <xf numFmtId="167" fontId="3" fillId="35" borderId="36" xfId="0" applyNumberFormat="1" applyFont="1" applyFill="1" applyBorder="1"/>
    <xf numFmtId="0" fontId="3" fillId="35" borderId="36" xfId="0" applyFont="1" applyFill="1" applyBorder="1"/>
    <xf numFmtId="165" fontId="3" fillId="35" borderId="36" xfId="0" applyNumberFormat="1" applyFont="1" applyFill="1" applyBorder="1"/>
    <xf numFmtId="0" fontId="3" fillId="35" borderId="12" xfId="0" applyFont="1" applyFill="1" applyBorder="1"/>
    <xf numFmtId="0" fontId="3" fillId="35" borderId="12" xfId="0" applyFont="1" applyFill="1" applyBorder="1" applyAlignment="1">
      <alignment horizontal="right"/>
    </xf>
    <xf numFmtId="165" fontId="3" fillId="35" borderId="12" xfId="0" applyNumberFormat="1" applyFont="1" applyFill="1" applyBorder="1"/>
    <xf numFmtId="165" fontId="3" fillId="0" borderId="12" xfId="0" applyNumberFormat="1" applyFont="1" applyFill="1" applyBorder="1"/>
    <xf numFmtId="0" fontId="3" fillId="0" borderId="12" xfId="0" applyFont="1" applyFill="1" applyBorder="1"/>
    <xf numFmtId="178" fontId="3" fillId="0" borderId="12" xfId="0" applyNumberFormat="1" applyFont="1" applyFill="1" applyBorder="1"/>
    <xf numFmtId="1" fontId="3" fillId="0" borderId="12" xfId="0" applyNumberFormat="1" applyFont="1" applyFill="1" applyBorder="1"/>
    <xf numFmtId="37" fontId="0" fillId="0" borderId="0" xfId="0" applyNumberFormat="1"/>
    <xf numFmtId="39" fontId="0" fillId="0" borderId="48" xfId="0" applyNumberFormat="1" applyFill="1" applyBorder="1"/>
    <xf numFmtId="42" fontId="0" fillId="0" borderId="12" xfId="0" applyNumberFormat="1" applyFill="1" applyBorder="1"/>
    <xf numFmtId="37" fontId="0" fillId="0" borderId="12" xfId="0" applyNumberFormat="1" applyFill="1" applyBorder="1"/>
    <xf numFmtId="2" fontId="0" fillId="0" borderId="12" xfId="0" applyNumberFormat="1" applyBorder="1"/>
    <xf numFmtId="0" fontId="0" fillId="0" borderId="12" xfId="0" applyFill="1" applyBorder="1"/>
    <xf numFmtId="2" fontId="0" fillId="0" borderId="12" xfId="0" applyNumberFormat="1" applyFill="1" applyBorder="1"/>
    <xf numFmtId="0" fontId="0" fillId="0" borderId="12" xfId="0" applyFill="1" applyBorder="1" applyAlignment="1">
      <alignment horizontal="center"/>
    </xf>
    <xf numFmtId="169" fontId="0" fillId="0" borderId="12" xfId="133" applyNumberFormat="1" applyFont="1" applyFill="1" applyBorder="1"/>
    <xf numFmtId="0" fontId="67" fillId="39" borderId="12" xfId="0" applyFont="1" applyFill="1" applyBorder="1" applyAlignment="1">
      <alignment horizontal="right"/>
    </xf>
    <xf numFmtId="0" fontId="67" fillId="39" borderId="13" xfId="0" applyFont="1" applyFill="1" applyBorder="1" applyAlignment="1">
      <alignment horizontal="right"/>
    </xf>
    <xf numFmtId="0" fontId="67" fillId="39" borderId="10" xfId="0" applyFont="1" applyFill="1" applyBorder="1" applyAlignment="1">
      <alignment horizontal="center"/>
    </xf>
    <xf numFmtId="0" fontId="67" fillId="39" borderId="13" xfId="0" applyFont="1" applyFill="1" applyBorder="1" applyAlignment="1">
      <alignment horizontal="center"/>
    </xf>
    <xf numFmtId="0" fontId="67" fillId="45" borderId="12" xfId="0" applyFont="1" applyFill="1" applyBorder="1"/>
    <xf numFmtId="169" fontId="67" fillId="45" borderId="12" xfId="133" applyNumberFormat="1" applyFont="1" applyFill="1" applyBorder="1"/>
    <xf numFmtId="0" fontId="67" fillId="45" borderId="12" xfId="0" applyFont="1" applyFill="1" applyBorder="1" applyAlignment="1">
      <alignment horizontal="center"/>
    </xf>
    <xf numFmtId="39" fontId="67" fillId="45" borderId="12" xfId="0" applyNumberFormat="1" applyFont="1" applyFill="1" applyBorder="1"/>
    <xf numFmtId="42" fontId="0" fillId="0" borderId="12" xfId="0" applyNumberFormat="1" applyBorder="1"/>
    <xf numFmtId="42" fontId="67" fillId="45" borderId="12" xfId="0" applyNumberFormat="1" applyFont="1" applyFill="1" applyBorder="1"/>
    <xf numFmtId="37" fontId="0" fillId="0" borderId="0" xfId="0" applyNumberFormat="1" applyFill="1" applyBorder="1"/>
    <xf numFmtId="2" fontId="0" fillId="0" borderId="16" xfId="0" applyNumberFormat="1" applyBorder="1"/>
    <xf numFmtId="2" fontId="0" fillId="0" borderId="16" xfId="0" applyNumberFormat="1" applyFill="1" applyBorder="1"/>
    <xf numFmtId="169" fontId="67" fillId="45" borderId="11" xfId="133" applyNumberFormat="1" applyFont="1" applyFill="1" applyBorder="1"/>
    <xf numFmtId="0" fontId="67" fillId="45" borderId="11" xfId="0" applyFont="1" applyFill="1" applyBorder="1" applyAlignment="1">
      <alignment horizontal="center"/>
    </xf>
    <xf numFmtId="0" fontId="67" fillId="45" borderId="11" xfId="0" applyFont="1" applyFill="1" applyBorder="1"/>
    <xf numFmtId="44" fontId="67" fillId="45" borderId="11" xfId="0" applyNumberFormat="1" applyFont="1" applyFill="1" applyBorder="1"/>
    <xf numFmtId="44" fontId="67" fillId="45" borderId="13" xfId="0" applyNumberFormat="1" applyFont="1" applyFill="1" applyBorder="1"/>
    <xf numFmtId="0" fontId="68" fillId="0" borderId="12" xfId="0" applyFont="1" applyBorder="1" applyAlignment="1">
      <alignment horizontal="center" vertical="center" wrapText="1"/>
    </xf>
    <xf numFmtId="0" fontId="69" fillId="48" borderId="12" xfId="0" applyFont="1" applyFill="1" applyBorder="1" applyAlignment="1">
      <alignment horizontal="center" vertical="center" wrapText="1"/>
    </xf>
    <xf numFmtId="0" fontId="30" fillId="30" borderId="10" xfId="0" applyFont="1" applyFill="1" applyBorder="1" applyAlignment="1">
      <alignment horizontal="center" vertical="center" wrapText="1"/>
    </xf>
    <xf numFmtId="0" fontId="30" fillId="46" borderId="10" xfId="0" applyFont="1" applyFill="1" applyBorder="1" applyAlignment="1">
      <alignment horizontal="center" vertical="center" wrapText="1"/>
    </xf>
    <xf numFmtId="0" fontId="30" fillId="44" borderId="10" xfId="0" applyFont="1" applyFill="1" applyBorder="1" applyAlignment="1">
      <alignment horizontal="center" vertical="center" wrapText="1"/>
    </xf>
    <xf numFmtId="0" fontId="30" fillId="47" borderId="10" xfId="0" applyFont="1" applyFill="1" applyBorder="1" applyAlignment="1">
      <alignment horizontal="center" vertical="center" wrapText="1"/>
    </xf>
    <xf numFmtId="0" fontId="68" fillId="0" borderId="61" xfId="0" applyFont="1" applyBorder="1" applyAlignment="1">
      <alignment horizontal="center" vertical="center" wrapText="1"/>
    </xf>
    <xf numFmtId="0" fontId="69" fillId="48" borderId="61" xfId="0" applyFont="1" applyFill="1" applyBorder="1" applyAlignment="1">
      <alignment horizontal="center" vertical="center" wrapText="1"/>
    </xf>
    <xf numFmtId="0" fontId="0" fillId="0" borderId="19" xfId="0" applyFont="1" applyBorder="1" applyAlignment="1">
      <alignment horizontal="center" vertical="center" wrapText="1"/>
    </xf>
    <xf numFmtId="0" fontId="67" fillId="38" borderId="67" xfId="0" applyFont="1" applyFill="1" applyBorder="1" applyAlignment="1">
      <alignment horizontal="center" vertical="center" wrapText="1"/>
    </xf>
    <xf numFmtId="0" fontId="67" fillId="38" borderId="66" xfId="0" applyFont="1" applyFill="1" applyBorder="1" applyAlignment="1">
      <alignment horizontal="center" vertical="center" wrapText="1"/>
    </xf>
    <xf numFmtId="168" fontId="0" fillId="0" borderId="0" xfId="0" applyNumberFormat="1" applyFill="1"/>
    <xf numFmtId="0" fontId="61" fillId="0" borderId="0" xfId="0" applyFont="1" applyFill="1"/>
    <xf numFmtId="0" fontId="0" fillId="0" borderId="26" xfId="0" applyFill="1" applyBorder="1" applyAlignment="1">
      <alignment horizontal="left"/>
    </xf>
    <xf numFmtId="42" fontId="0" fillId="0" borderId="0" xfId="0" applyNumberFormat="1" applyFont="1" applyFill="1" applyBorder="1"/>
    <xf numFmtId="9" fontId="0" fillId="0" borderId="0" xfId="0" applyNumberFormat="1" applyFont="1" applyFill="1" applyBorder="1"/>
    <xf numFmtId="166" fontId="0" fillId="0" borderId="16" xfId="0" applyNumberFormat="1" applyFont="1" applyFill="1" applyBorder="1"/>
    <xf numFmtId="166" fontId="0" fillId="0" borderId="16" xfId="0" applyNumberFormat="1" applyFill="1" applyBorder="1"/>
    <xf numFmtId="0" fontId="0" fillId="0" borderId="14" xfId="0" applyFill="1" applyBorder="1" applyAlignment="1">
      <alignment horizontal="left"/>
    </xf>
    <xf numFmtId="9" fontId="0" fillId="0" borderId="17" xfId="0" applyNumberFormat="1" applyFont="1" applyFill="1" applyBorder="1"/>
    <xf numFmtId="166" fontId="0" fillId="0" borderId="21" xfId="0" applyNumberFormat="1" applyFill="1" applyBorder="1"/>
    <xf numFmtId="9" fontId="0" fillId="0" borderId="16" xfId="0" applyNumberFormat="1" applyFont="1" applyFill="1" applyBorder="1"/>
    <xf numFmtId="0" fontId="0" fillId="0" borderId="26" xfId="0" applyFont="1" applyFill="1" applyBorder="1" applyAlignment="1">
      <alignment horizontal="left"/>
    </xf>
    <xf numFmtId="1" fontId="0" fillId="0" borderId="0" xfId="0" applyNumberFormat="1" applyFont="1" applyFill="1" applyBorder="1"/>
    <xf numFmtId="0" fontId="61" fillId="0" borderId="26" xfId="0" applyFont="1" applyFill="1" applyBorder="1" applyAlignment="1">
      <alignment horizontal="left"/>
    </xf>
    <xf numFmtId="0" fontId="61" fillId="0" borderId="0" xfId="0" applyFont="1" applyFill="1" applyBorder="1"/>
    <xf numFmtId="1" fontId="61" fillId="0" borderId="0" xfId="0" applyNumberFormat="1" applyFont="1" applyFill="1" applyBorder="1"/>
    <xf numFmtId="42" fontId="61" fillId="0" borderId="0" xfId="0" applyNumberFormat="1" applyFont="1" applyFill="1" applyBorder="1"/>
    <xf numFmtId="9" fontId="61" fillId="0" borderId="0" xfId="0" applyNumberFormat="1" applyFont="1" applyFill="1" applyBorder="1"/>
    <xf numFmtId="166" fontId="61" fillId="0" borderId="16" xfId="0" applyNumberFormat="1" applyFont="1" applyFill="1" applyBorder="1"/>
    <xf numFmtId="0" fontId="61" fillId="0" borderId="14" xfId="0" applyFont="1" applyFill="1" applyBorder="1" applyAlignment="1">
      <alignment horizontal="left"/>
    </xf>
    <xf numFmtId="0" fontId="61" fillId="0" borderId="17" xfId="0" applyFont="1" applyFill="1" applyBorder="1"/>
    <xf numFmtId="1" fontId="61" fillId="0" borderId="17" xfId="0" applyNumberFormat="1" applyFont="1" applyFill="1" applyBorder="1"/>
    <xf numFmtId="42" fontId="61" fillId="0" borderId="17" xfId="0" applyNumberFormat="1" applyFont="1" applyFill="1" applyBorder="1"/>
    <xf numFmtId="9" fontId="61" fillId="0" borderId="17" xfId="0" applyNumberFormat="1" applyFont="1" applyFill="1" applyBorder="1"/>
    <xf numFmtId="166" fontId="61" fillId="0" borderId="21" xfId="0" applyNumberFormat="1" applyFont="1" applyFill="1" applyBorder="1"/>
    <xf numFmtId="0" fontId="0" fillId="0" borderId="26" xfId="0" applyFill="1" applyBorder="1"/>
    <xf numFmtId="1" fontId="0" fillId="0" borderId="0" xfId="0" applyNumberFormat="1" applyFill="1" applyBorder="1"/>
    <xf numFmtId="0" fontId="0" fillId="0" borderId="14" xfId="0" applyFill="1" applyBorder="1"/>
    <xf numFmtId="1" fontId="0" fillId="0" borderId="17" xfId="0" applyNumberFormat="1" applyFill="1" applyBorder="1"/>
    <xf numFmtId="0" fontId="3" fillId="27" borderId="10" xfId="0" applyFont="1" applyFill="1" applyBorder="1" applyAlignment="1">
      <alignment horizontal="left"/>
    </xf>
    <xf numFmtId="0" fontId="3" fillId="27" borderId="11" xfId="0" applyFont="1" applyFill="1" applyBorder="1"/>
    <xf numFmtId="42" fontId="3" fillId="27" borderId="11" xfId="0" applyNumberFormat="1" applyFont="1" applyFill="1" applyBorder="1"/>
    <xf numFmtId="9" fontId="3" fillId="27" borderId="11" xfId="0" applyNumberFormat="1" applyFont="1" applyFill="1" applyBorder="1"/>
    <xf numFmtId="166" fontId="3" fillId="27" borderId="13" xfId="0" applyNumberFormat="1" applyFont="1" applyFill="1" applyBorder="1"/>
    <xf numFmtId="1" fontId="3" fillId="27" borderId="11" xfId="0" applyNumberFormat="1" applyFont="1" applyFill="1" applyBorder="1"/>
    <xf numFmtId="169" fontId="3" fillId="27" borderId="11" xfId="0" applyNumberFormat="1" applyFont="1" applyFill="1" applyBorder="1"/>
    <xf numFmtId="0" fontId="0" fillId="27" borderId="11" xfId="0" applyFont="1" applyFill="1" applyBorder="1"/>
    <xf numFmtId="0" fontId="3" fillId="27" borderId="17" xfId="0" applyFont="1" applyFill="1" applyBorder="1"/>
    <xf numFmtId="0" fontId="0" fillId="0" borderId="26" xfId="0" applyNumberFormat="1" applyFill="1" applyBorder="1" applyAlignment="1">
      <alignment horizontal="left"/>
    </xf>
    <xf numFmtId="166" fontId="0" fillId="0" borderId="17" xfId="0" applyNumberFormat="1" applyFont="1" applyFill="1" applyBorder="1"/>
    <xf numFmtId="166" fontId="3" fillId="27" borderId="11" xfId="0" applyNumberFormat="1" applyFont="1" applyFill="1" applyBorder="1"/>
    <xf numFmtId="0" fontId="3" fillId="0" borderId="68" xfId="0" applyFont="1" applyBorder="1" applyAlignment="1">
      <alignment horizontal="left"/>
    </xf>
    <xf numFmtId="0" fontId="3" fillId="0" borderId="68" xfId="0" applyFont="1" applyBorder="1"/>
    <xf numFmtId="168" fontId="3" fillId="0" borderId="68" xfId="0" applyNumberFormat="1" applyFont="1" applyBorder="1"/>
    <xf numFmtId="0" fontId="0" fillId="0" borderId="68" xfId="0" applyBorder="1"/>
    <xf numFmtId="1" fontId="0" fillId="27" borderId="11" xfId="0" applyNumberFormat="1" applyFont="1" applyFill="1" applyBorder="1"/>
    <xf numFmtId="0" fontId="0" fillId="0" borderId="19" xfId="0" applyFont="1" applyBorder="1" applyAlignment="1">
      <alignment horizontal="left"/>
    </xf>
    <xf numFmtId="0" fontId="0" fillId="0" borderId="20" xfId="0" applyFont="1" applyBorder="1"/>
    <xf numFmtId="1" fontId="0" fillId="0" borderId="20" xfId="0" applyNumberFormat="1" applyFont="1" applyFill="1" applyBorder="1"/>
    <xf numFmtId="169" fontId="0" fillId="0" borderId="20" xfId="0" applyNumberFormat="1" applyFont="1" applyBorder="1"/>
    <xf numFmtId="9" fontId="0" fillId="0" borderId="20" xfId="0" applyNumberFormat="1" applyFont="1" applyFill="1" applyBorder="1"/>
    <xf numFmtId="166" fontId="0" fillId="0" borderId="22" xfId="0" applyNumberFormat="1" applyFont="1" applyFill="1" applyBorder="1"/>
    <xf numFmtId="0" fontId="0" fillId="0" borderId="26" xfId="0" applyFont="1" applyBorder="1" applyAlignment="1">
      <alignment horizontal="left"/>
    </xf>
    <xf numFmtId="169" fontId="0" fillId="0" borderId="0" xfId="0" applyNumberFormat="1" applyFont="1" applyBorder="1"/>
    <xf numFmtId="0" fontId="0" fillId="0" borderId="14" xfId="0" applyFont="1" applyBorder="1" applyAlignment="1">
      <alignment horizontal="left"/>
    </xf>
    <xf numFmtId="1" fontId="0" fillId="0" borderId="17" xfId="0" applyNumberFormat="1" applyFont="1" applyFill="1" applyBorder="1"/>
    <xf numFmtId="169" fontId="0" fillId="0" borderId="17" xfId="0" applyNumberFormat="1" applyFont="1" applyBorder="1"/>
    <xf numFmtId="166" fontId="0" fillId="0" borderId="21" xfId="0" applyNumberFormat="1" applyFont="1" applyFill="1" applyBorder="1"/>
    <xf numFmtId="2" fontId="3" fillId="27" borderId="11" xfId="0" applyNumberFormat="1" applyFont="1" applyFill="1" applyBorder="1"/>
    <xf numFmtId="0" fontId="0" fillId="27" borderId="11" xfId="0" applyFill="1" applyBorder="1"/>
    <xf numFmtId="0" fontId="3" fillId="27" borderId="14" xfId="0" applyFont="1" applyFill="1" applyBorder="1" applyAlignment="1">
      <alignment horizontal="left"/>
    </xf>
    <xf numFmtId="0" fontId="0" fillId="27" borderId="17" xfId="0" applyFill="1" applyBorder="1"/>
    <xf numFmtId="169" fontId="3" fillId="27" borderId="17" xfId="0" applyNumberFormat="1" applyFont="1" applyFill="1" applyBorder="1"/>
    <xf numFmtId="9" fontId="3" fillId="27" borderId="17" xfId="0" applyNumberFormat="1" applyFont="1" applyFill="1" applyBorder="1"/>
    <xf numFmtId="166" fontId="3" fillId="27" borderId="21" xfId="0" applyNumberFormat="1" applyFont="1" applyFill="1" applyBorder="1"/>
    <xf numFmtId="169" fontId="0" fillId="0" borderId="0" xfId="0" applyNumberFormat="1" applyFont="1" applyFill="1" applyBorder="1"/>
    <xf numFmtId="0" fontId="0" fillId="0" borderId="19" xfId="0" applyBorder="1" applyAlignment="1">
      <alignment horizontal="left"/>
    </xf>
    <xf numFmtId="0" fontId="0" fillId="0" borderId="20" xfId="0" applyFill="1" applyBorder="1"/>
    <xf numFmtId="166" fontId="0" fillId="0" borderId="20" xfId="0" applyNumberFormat="1" applyFont="1" applyFill="1" applyBorder="1"/>
    <xf numFmtId="42" fontId="0" fillId="0" borderId="20" xfId="0" applyNumberFormat="1" applyFont="1" applyBorder="1"/>
    <xf numFmtId="166" fontId="0" fillId="0" borderId="22" xfId="0" applyNumberFormat="1" applyFill="1" applyBorder="1"/>
    <xf numFmtId="0" fontId="0" fillId="0" borderId="26" xfId="0" applyBorder="1" applyAlignment="1">
      <alignment horizontal="left"/>
    </xf>
    <xf numFmtId="0" fontId="0" fillId="0" borderId="26" xfId="0" applyNumberFormat="1" applyBorder="1" applyAlignment="1">
      <alignment horizontal="left"/>
    </xf>
    <xf numFmtId="0" fontId="0" fillId="0" borderId="14" xfId="0" applyBorder="1" applyAlignment="1">
      <alignment horizontal="left"/>
    </xf>
    <xf numFmtId="44" fontId="0" fillId="0" borderId="17" xfId="0" applyNumberFormat="1" applyFont="1" applyBorder="1"/>
    <xf numFmtId="44" fontId="3" fillId="27" borderId="11" xfId="0" applyNumberFormat="1" applyFont="1" applyFill="1" applyBorder="1"/>
    <xf numFmtId="0" fontId="3" fillId="37" borderId="10" xfId="0" applyFont="1" applyFill="1" applyBorder="1" applyAlignment="1">
      <alignment horizontal="left"/>
    </xf>
    <xf numFmtId="0" fontId="3" fillId="37" borderId="11" xfId="0" applyFont="1" applyFill="1" applyBorder="1"/>
    <xf numFmtId="42" fontId="3" fillId="37" borderId="11" xfId="0" applyNumberFormat="1" applyFont="1" applyFill="1" applyBorder="1"/>
    <xf numFmtId="9" fontId="3" fillId="37" borderId="11" xfId="0" applyNumberFormat="1" applyFont="1" applyFill="1" applyBorder="1"/>
    <xf numFmtId="166" fontId="3" fillId="37" borderId="13" xfId="0" applyNumberFormat="1" applyFont="1" applyFill="1" applyBorder="1"/>
    <xf numFmtId="1" fontId="3" fillId="37" borderId="11" xfId="0" applyNumberFormat="1" applyFont="1" applyFill="1" applyBorder="1"/>
    <xf numFmtId="37" fontId="3" fillId="37" borderId="11" xfId="0" applyNumberFormat="1" applyFont="1" applyFill="1" applyBorder="1"/>
    <xf numFmtId="42" fontId="22" fillId="37" borderId="11" xfId="0" applyNumberFormat="1" applyFont="1" applyFill="1" applyBorder="1"/>
    <xf numFmtId="169" fontId="3" fillId="37" borderId="11" xfId="0" applyNumberFormat="1" applyFont="1" applyFill="1" applyBorder="1"/>
    <xf numFmtId="49" fontId="3" fillId="37" borderId="10" xfId="0" applyNumberFormat="1" applyFont="1" applyFill="1" applyBorder="1" applyAlignment="1">
      <alignment horizontal="left"/>
    </xf>
    <xf numFmtId="0" fontId="0" fillId="37" borderId="11" xfId="0" applyFont="1" applyFill="1" applyBorder="1"/>
    <xf numFmtId="9" fontId="3" fillId="37" borderId="11" xfId="150" applyFont="1" applyFill="1" applyBorder="1"/>
    <xf numFmtId="9" fontId="3" fillId="37" borderId="13" xfId="150" applyFont="1" applyFill="1" applyBorder="1"/>
    <xf numFmtId="0" fontId="3" fillId="37" borderId="10" xfId="0" applyNumberFormat="1" applyFont="1" applyFill="1" applyBorder="1" applyAlignment="1">
      <alignment horizontal="left"/>
    </xf>
    <xf numFmtId="169" fontId="3" fillId="37" borderId="11" xfId="0" applyNumberFormat="1" applyFont="1" applyFill="1" applyBorder="1" applyAlignment="1"/>
    <xf numFmtId="165" fontId="3" fillId="37" borderId="11" xfId="0" applyNumberFormat="1" applyFont="1" applyFill="1" applyBorder="1"/>
    <xf numFmtId="166" fontId="3" fillId="37" borderId="11" xfId="0" applyNumberFormat="1" applyFont="1" applyFill="1" applyBorder="1"/>
    <xf numFmtId="7" fontId="0" fillId="0" borderId="0" xfId="0" applyNumberFormat="1"/>
    <xf numFmtId="49" fontId="0" fillId="0" borderId="0" xfId="0" applyNumberFormat="1" applyFont="1" applyFill="1" applyAlignment="1">
      <alignment horizontal="left"/>
    </xf>
    <xf numFmtId="175" fontId="0" fillId="0" borderId="17" xfId="0" applyNumberFormat="1" applyFont="1" applyBorder="1"/>
    <xf numFmtId="0" fontId="3" fillId="26" borderId="10" xfId="0" applyFont="1" applyFill="1" applyBorder="1" applyAlignment="1">
      <alignment horizontal="left"/>
    </xf>
    <xf numFmtId="0" fontId="3" fillId="26" borderId="11" xfId="0" applyFont="1" applyFill="1" applyBorder="1"/>
    <xf numFmtId="175" fontId="3" fillId="26" borderId="11" xfId="0" applyNumberFormat="1" applyFont="1" applyFill="1" applyBorder="1"/>
    <xf numFmtId="9" fontId="3" fillId="26" borderId="11" xfId="0" applyNumberFormat="1" applyFont="1" applyFill="1" applyBorder="1"/>
    <xf numFmtId="166" fontId="3" fillId="26" borderId="13" xfId="0" applyNumberFormat="1" applyFont="1" applyFill="1" applyBorder="1"/>
    <xf numFmtId="0" fontId="0" fillId="0" borderId="20" xfId="0" applyFont="1" applyFill="1" applyBorder="1"/>
    <xf numFmtId="175" fontId="0" fillId="0" borderId="20" xfId="0" applyNumberFormat="1" applyFont="1" applyBorder="1"/>
    <xf numFmtId="175" fontId="0" fillId="0" borderId="0" xfId="0" applyNumberFormat="1" applyFont="1" applyBorder="1"/>
    <xf numFmtId="1" fontId="3" fillId="26" borderId="11" xfId="0" applyNumberFormat="1" applyFont="1" applyFill="1" applyBorder="1"/>
    <xf numFmtId="0" fontId="3" fillId="26" borderId="69" xfId="0" applyFont="1" applyFill="1" applyBorder="1" applyAlignment="1">
      <alignment horizontal="left"/>
    </xf>
    <xf numFmtId="0" fontId="3" fillId="26" borderId="33" xfId="0" applyFont="1" applyFill="1" applyBorder="1"/>
    <xf numFmtId="1" fontId="3" fillId="26" borderId="33" xfId="0" applyNumberFormat="1" applyFont="1" applyFill="1" applyBorder="1"/>
    <xf numFmtId="175" fontId="3" fillId="26" borderId="33" xfId="0" applyNumberFormat="1" applyFont="1" applyFill="1" applyBorder="1"/>
    <xf numFmtId="9" fontId="3" fillId="26" borderId="33" xfId="0" applyNumberFormat="1" applyFont="1" applyFill="1" applyBorder="1"/>
    <xf numFmtId="166" fontId="3" fillId="26" borderId="70" xfId="0" applyNumberFormat="1" applyFont="1" applyFill="1" applyBorder="1"/>
    <xf numFmtId="166" fontId="3" fillId="26" borderId="11" xfId="0" applyNumberFormat="1" applyFont="1" applyFill="1" applyBorder="1"/>
    <xf numFmtId="167" fontId="4" fillId="0" borderId="12" xfId="3" applyNumberFormat="1" applyFill="1" applyBorder="1"/>
    <xf numFmtId="0" fontId="4" fillId="0" borderId="12" xfId="3" applyFill="1" applyBorder="1"/>
    <xf numFmtId="9" fontId="4" fillId="0" borderId="12" xfId="3" applyNumberFormat="1" applyFill="1" applyBorder="1"/>
    <xf numFmtId="167" fontId="4" fillId="26" borderId="21" xfId="3" applyNumberFormat="1" applyFont="1" applyFill="1" applyBorder="1"/>
    <xf numFmtId="167" fontId="4" fillId="26" borderId="13" xfId="3" applyNumberFormat="1" applyFont="1" applyFill="1" applyBorder="1"/>
    <xf numFmtId="10" fontId="4" fillId="26" borderId="13" xfId="3" applyNumberFormat="1" applyFont="1" applyFill="1" applyBorder="1"/>
    <xf numFmtId="1" fontId="0" fillId="0" borderId="0" xfId="0" applyNumberFormat="1" applyFill="1" applyAlignment="1">
      <alignment horizontal="right"/>
    </xf>
    <xf numFmtId="3" fontId="0" fillId="0" borderId="0" xfId="0" applyNumberFormat="1" applyFill="1" applyAlignment="1">
      <alignment horizontal="right"/>
    </xf>
    <xf numFmtId="165" fontId="0" fillId="0" borderId="0" xfId="0" applyNumberFormat="1" applyFill="1" applyAlignment="1">
      <alignment horizontal="right"/>
    </xf>
    <xf numFmtId="168" fontId="0" fillId="0" borderId="0" xfId="0" applyNumberFormat="1" applyFill="1" applyAlignment="1">
      <alignment horizontal="right"/>
    </xf>
    <xf numFmtId="169" fontId="0" fillId="0" borderId="0" xfId="133" applyNumberFormat="1" applyFont="1" applyFill="1" applyAlignment="1">
      <alignment horizontal="right"/>
    </xf>
    <xf numFmtId="0" fontId="71" fillId="0" borderId="0" xfId="0" applyFont="1" applyFill="1"/>
    <xf numFmtId="165" fontId="71" fillId="0" borderId="0" xfId="0" applyNumberFormat="1" applyFont="1" applyFill="1" applyAlignment="1">
      <alignment horizontal="right"/>
    </xf>
    <xf numFmtId="168" fontId="71" fillId="0" borderId="0" xfId="0" applyNumberFormat="1" applyFont="1" applyFill="1" applyAlignment="1">
      <alignment horizontal="right"/>
    </xf>
    <xf numFmtId="1" fontId="71" fillId="0" borderId="0" xfId="0" applyNumberFormat="1" applyFont="1" applyFill="1"/>
    <xf numFmtId="165" fontId="71" fillId="0" borderId="0" xfId="0" applyNumberFormat="1" applyFont="1" applyFill="1"/>
    <xf numFmtId="165" fontId="0" fillId="35" borderId="0" xfId="0" applyNumberFormat="1" applyFill="1"/>
    <xf numFmtId="168" fontId="0" fillId="35" borderId="0" xfId="0" applyNumberFormat="1" applyFill="1"/>
    <xf numFmtId="37" fontId="0" fillId="0" borderId="0" xfId="133" applyNumberFormat="1" applyFont="1" applyFill="1" applyBorder="1"/>
    <xf numFmtId="169" fontId="0" fillId="0" borderId="0" xfId="133" quotePrefix="1" applyNumberFormat="1" applyFont="1" applyFill="1" applyBorder="1"/>
    <xf numFmtId="0" fontId="46" fillId="0" borderId="0" xfId="0" applyFont="1" applyFill="1"/>
    <xf numFmtId="42" fontId="0" fillId="0" borderId="0" xfId="133" applyNumberFormat="1" applyFont="1" applyFill="1"/>
    <xf numFmtId="42" fontId="61" fillId="0" borderId="0" xfId="133" applyNumberFormat="1" applyFont="1" applyFill="1"/>
    <xf numFmtId="3" fontId="61" fillId="0" borderId="0" xfId="0" applyNumberFormat="1" applyFont="1" applyFill="1"/>
    <xf numFmtId="169" fontId="61" fillId="0" borderId="0" xfId="133" applyNumberFormat="1" applyFont="1" applyFill="1"/>
    <xf numFmtId="168" fontId="3" fillId="0" borderId="0" xfId="0" applyNumberFormat="1" applyFont="1" applyBorder="1"/>
    <xf numFmtId="0" fontId="28" fillId="27" borderId="15" xfId="0" applyFont="1" applyFill="1" applyBorder="1" applyAlignment="1">
      <alignment horizontal="center"/>
    </xf>
    <xf numFmtId="0" fontId="28" fillId="27" borderId="18" xfId="0" applyFont="1" applyFill="1" applyBorder="1" applyAlignment="1">
      <alignment horizontal="center"/>
    </xf>
    <xf numFmtId="0" fontId="40" fillId="27" borderId="10" xfId="0" applyFont="1" applyFill="1" applyBorder="1" applyAlignment="1">
      <alignment horizontal="center"/>
    </xf>
    <xf numFmtId="0" fontId="40" fillId="27" borderId="13" xfId="0" applyFont="1" applyFill="1" applyBorder="1" applyAlignment="1">
      <alignment horizontal="center"/>
    </xf>
    <xf numFmtId="0" fontId="40" fillId="27" borderId="15" xfId="0" applyFont="1" applyFill="1" applyBorder="1" applyAlignment="1">
      <alignment horizontal="center"/>
    </xf>
    <xf numFmtId="0" fontId="40" fillId="27" borderId="18" xfId="0" applyFont="1" applyFill="1" applyBorder="1" applyAlignment="1">
      <alignment horizontal="center"/>
    </xf>
    <xf numFmtId="0" fontId="40" fillId="27" borderId="19" xfId="0" applyFont="1" applyFill="1" applyBorder="1" applyAlignment="1">
      <alignment horizontal="center"/>
    </xf>
    <xf numFmtId="0" fontId="40" fillId="27" borderId="14" xfId="0" applyFont="1" applyFill="1" applyBorder="1" applyAlignment="1">
      <alignment horizontal="center"/>
    </xf>
    <xf numFmtId="0" fontId="23" fillId="0" borderId="10" xfId="55" applyFont="1" applyFill="1" applyBorder="1" applyAlignment="1">
      <alignment horizontal="center"/>
    </xf>
    <xf numFmtId="0" fontId="23" fillId="0" borderId="13" xfId="55" applyFont="1" applyFill="1" applyBorder="1" applyAlignment="1">
      <alignment horizontal="center"/>
    </xf>
    <xf numFmtId="0" fontId="0" fillId="0" borderId="0" xfId="0" applyAlignment="1">
      <alignment horizontal="left" vertical="top" wrapText="1"/>
    </xf>
    <xf numFmtId="0" fontId="58" fillId="38" borderId="39" xfId="0" applyFont="1" applyFill="1" applyBorder="1" applyAlignment="1">
      <alignment horizontal="center"/>
    </xf>
    <xf numFmtId="0" fontId="58" fillId="38" borderId="40" xfId="0" applyFont="1" applyFill="1" applyBorder="1" applyAlignment="1">
      <alignment horizontal="center"/>
    </xf>
    <xf numFmtId="0" fontId="58" fillId="38" borderId="41" xfId="0" applyFont="1" applyFill="1" applyBorder="1" applyAlignment="1">
      <alignment horizontal="center"/>
    </xf>
    <xf numFmtId="0" fontId="58" fillId="38" borderId="20" xfId="0" applyFont="1" applyFill="1" applyBorder="1" applyAlignment="1">
      <alignment horizontal="center"/>
    </xf>
    <xf numFmtId="0" fontId="58" fillId="38" borderId="22" xfId="0" applyFont="1" applyFill="1" applyBorder="1" applyAlignment="1">
      <alignment horizontal="center"/>
    </xf>
    <xf numFmtId="0" fontId="0" fillId="0" borderId="36" xfId="0" applyBorder="1" applyAlignment="1">
      <alignment horizontal="center" vertical="center" wrapText="1"/>
    </xf>
    <xf numFmtId="0" fontId="0" fillId="0" borderId="37" xfId="0" applyBorder="1" applyAlignment="1">
      <alignment horizontal="left" vertical="center" wrapText="1"/>
    </xf>
    <xf numFmtId="0" fontId="0" fillId="0" borderId="18" xfId="0" applyBorder="1" applyAlignment="1">
      <alignment horizontal="left" vertical="center" wrapText="1"/>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left" vertical="center" wrapText="1"/>
    </xf>
    <xf numFmtId="0" fontId="3" fillId="0" borderId="0" xfId="0" applyFont="1" applyAlignment="1">
      <alignment horizontal="center"/>
    </xf>
    <xf numFmtId="0" fontId="0" fillId="0" borderId="0" xfId="0" applyFill="1" applyAlignment="1">
      <alignment horizontal="center" vertical="top" wrapText="1"/>
    </xf>
    <xf numFmtId="0" fontId="0" fillId="0" borderId="0" xfId="0" applyBorder="1" applyAlignment="1">
      <alignment horizontal="left" vertical="center"/>
    </xf>
    <xf numFmtId="0" fontId="5" fillId="0" borderId="0" xfId="0"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0" fontId="0" fillId="0" borderId="0" xfId="0" applyAlignment="1">
      <alignment horizontal="center"/>
    </xf>
    <xf numFmtId="0" fontId="0" fillId="0" borderId="43" xfId="0" applyBorder="1" applyAlignment="1">
      <alignment horizontal="center"/>
    </xf>
    <xf numFmtId="0" fontId="0" fillId="0" borderId="44" xfId="0" applyBorder="1" applyAlignment="1">
      <alignment horizontal="center"/>
    </xf>
    <xf numFmtId="0" fontId="67" fillId="39" borderId="15" xfId="0" applyFont="1" applyFill="1" applyBorder="1" applyAlignment="1">
      <alignment horizontal="center"/>
    </xf>
    <xf numFmtId="0" fontId="67" fillId="39" borderId="12" xfId="0" applyFont="1" applyFill="1" applyBorder="1" applyAlignment="1">
      <alignment horizontal="center"/>
    </xf>
    <xf numFmtId="0" fontId="67" fillId="45" borderId="10" xfId="0" applyFont="1" applyFill="1" applyBorder="1" applyAlignment="1">
      <alignment horizontal="left"/>
    </xf>
    <xf numFmtId="0" fontId="67" fillId="45" borderId="11" xfId="0" applyFont="1" applyFill="1" applyBorder="1" applyAlignment="1">
      <alignment horizontal="left"/>
    </xf>
    <xf numFmtId="0" fontId="67" fillId="45" borderId="13" xfId="0" applyFont="1" applyFill="1" applyBorder="1" applyAlignment="1">
      <alignment horizontal="left"/>
    </xf>
    <xf numFmtId="0" fontId="67" fillId="45" borderId="14" xfId="0" applyFont="1" applyFill="1" applyBorder="1" applyAlignment="1">
      <alignment horizontal="left"/>
    </xf>
    <xf numFmtId="0" fontId="67" fillId="45" borderId="17" xfId="0" applyFont="1" applyFill="1" applyBorder="1" applyAlignment="1">
      <alignment horizontal="left"/>
    </xf>
    <xf numFmtId="0" fontId="67" fillId="45" borderId="12" xfId="0" applyFont="1" applyFill="1" applyBorder="1" applyAlignment="1">
      <alignment horizontal="left"/>
    </xf>
  </cellXfs>
  <cellStyles count="195">
    <cellStyle name="20% - Accent1 2" xfId="5"/>
    <cellStyle name="20% - Accent1 3" xfId="56"/>
    <cellStyle name="20% - Accent2 2" xfId="6"/>
    <cellStyle name="20% - Accent2 3" xfId="57"/>
    <cellStyle name="20% - Accent3 2" xfId="7"/>
    <cellStyle name="20% - Accent3 3" xfId="58"/>
    <cellStyle name="20% - Accent4 2" xfId="8"/>
    <cellStyle name="20% - Accent4 3" xfId="59"/>
    <cellStyle name="20% - Accent5 2" xfId="9"/>
    <cellStyle name="20% - Accent5 3" xfId="60"/>
    <cellStyle name="20% - Accent6 2" xfId="10"/>
    <cellStyle name="20% - Accent6 3" xfId="61"/>
    <cellStyle name="40% - Accent1 2" xfId="11"/>
    <cellStyle name="40% - Accent1 3" xfId="62"/>
    <cellStyle name="40% - Accent2 2" xfId="12"/>
    <cellStyle name="40% - Accent2 3" xfId="63"/>
    <cellStyle name="40% - Accent3 2" xfId="13"/>
    <cellStyle name="40% - Accent3 3" xfId="64"/>
    <cellStyle name="40% - Accent4 2" xfId="14"/>
    <cellStyle name="40% - Accent4 3" xfId="65"/>
    <cellStyle name="40% - Accent5 2" xfId="15"/>
    <cellStyle name="40% - Accent5 3" xfId="66"/>
    <cellStyle name="40% - Accent6 2" xfId="16"/>
    <cellStyle name="40% - Accent6 3" xfId="67"/>
    <cellStyle name="60% - Accent1 2" xfId="17"/>
    <cellStyle name="60% - Accent1 3" xfId="68"/>
    <cellStyle name="60% - Accent2 2" xfId="18"/>
    <cellStyle name="60% - Accent2 3" xfId="69"/>
    <cellStyle name="60% - Accent3 2" xfId="19"/>
    <cellStyle name="60% - Accent3 3" xfId="70"/>
    <cellStyle name="60% - Accent4 2" xfId="20"/>
    <cellStyle name="60% - Accent4 3" xfId="71"/>
    <cellStyle name="60% - Accent5 2" xfId="21"/>
    <cellStyle name="60% - Accent5 3" xfId="72"/>
    <cellStyle name="60% - Accent6 2" xfId="22"/>
    <cellStyle name="60% - Accent6 3" xfId="73"/>
    <cellStyle name="Accent1 2" xfId="23"/>
    <cellStyle name="Accent1 3" xfId="74"/>
    <cellStyle name="Accent2 2" xfId="24"/>
    <cellStyle name="Accent2 3" xfId="75"/>
    <cellStyle name="Accent3 2" xfId="25"/>
    <cellStyle name="Accent3 3" xfId="76"/>
    <cellStyle name="Accent4 2" xfId="26"/>
    <cellStyle name="Accent4 3" xfId="77"/>
    <cellStyle name="Accent5 2" xfId="27"/>
    <cellStyle name="Accent5 3" xfId="78"/>
    <cellStyle name="Accent6 2" xfId="28"/>
    <cellStyle name="Accent6 3" xfId="79"/>
    <cellStyle name="Bad 2" xfId="29"/>
    <cellStyle name="Bad 3" xfId="80"/>
    <cellStyle name="Calculation 2" xfId="30"/>
    <cellStyle name="Calculation 2 2" xfId="81"/>
    <cellStyle name="Calculation 2 2 2" xfId="160"/>
    <cellStyle name="Calculation 2 2 3" xfId="186"/>
    <cellStyle name="Calculation 2 3" xfId="155"/>
    <cellStyle name="Calculation 2 4" xfId="188"/>
    <cellStyle name="Calculation 3" xfId="82"/>
    <cellStyle name="Calculation 3 2" xfId="83"/>
    <cellStyle name="Calculation 3 2 2" xfId="162"/>
    <cellStyle name="Calculation 3 2 3" xfId="185"/>
    <cellStyle name="Calculation 3 3" xfId="161"/>
    <cellStyle name="Calculation 3 4" xfId="178"/>
    <cellStyle name="Check Cell 2" xfId="31"/>
    <cellStyle name="Check Cell 3" xfId="84"/>
    <cellStyle name="Comma" xfId="152" builtinId="3"/>
    <cellStyle name="Comma 2" xfId="4"/>
    <cellStyle name="Comma 2 2" xfId="85"/>
    <cellStyle name="Comma 3" xfId="86"/>
    <cellStyle name="Currency" xfId="133" builtinId="4"/>
    <cellStyle name="Currency 2" xfId="87"/>
    <cellStyle name="Explanatory Text 2" xfId="32"/>
    <cellStyle name="Explanatory Text 3" xfId="88"/>
    <cellStyle name="Good 2" xfId="33"/>
    <cellStyle name="Good 3" xfId="89"/>
    <cellStyle name="Heading 1 2" xfId="34"/>
    <cellStyle name="Heading 1 3" xfId="90"/>
    <cellStyle name="Heading 2 2" xfId="35"/>
    <cellStyle name="Heading 2 3" xfId="91"/>
    <cellStyle name="Heading 3 2" xfId="36"/>
    <cellStyle name="Heading 3 3" xfId="92"/>
    <cellStyle name="Heading 4 2" xfId="37"/>
    <cellStyle name="Heading 4 3" xfId="93"/>
    <cellStyle name="Hyperlink" xfId="134" builtinId="8"/>
    <cellStyle name="Hyperlink 2" xfId="135"/>
    <cellStyle name="Input 2" xfId="38"/>
    <cellStyle name="Input 2 2" xfId="94"/>
    <cellStyle name="Input 2 2 2" xfId="163"/>
    <cellStyle name="Input 2 2 3" xfId="184"/>
    <cellStyle name="Input 2 3" xfId="156"/>
    <cellStyle name="Input 2 4" xfId="181"/>
    <cellStyle name="Input 3" xfId="95"/>
    <cellStyle name="Input 3 2" xfId="96"/>
    <cellStyle name="Input 3 2 2" xfId="165"/>
    <cellStyle name="Input 3 2 3" xfId="183"/>
    <cellStyle name="Input 3 3" xfId="164"/>
    <cellStyle name="Input 3 4" xfId="177"/>
    <cellStyle name="Linked Cell 2" xfId="39"/>
    <cellStyle name="Linked Cell 2 2" xfId="153"/>
    <cellStyle name="Linked Cell 3" xfId="97"/>
    <cellStyle name="Linked Cell 3 2" xfId="154"/>
    <cellStyle name="Neutral" xfId="151" builtinId="28"/>
    <cellStyle name="Neutral 2" xfId="40"/>
    <cellStyle name="Neutral 3" xfId="98"/>
    <cellStyle name="Normal" xfId="0" builtinId="0"/>
    <cellStyle name="Normal 10" xfId="55"/>
    <cellStyle name="Normal 100" xfId="136"/>
    <cellStyle name="Normal 103" xfId="137"/>
    <cellStyle name="Normal 11" xfId="99"/>
    <cellStyle name="Normal 11 2" xfId="100"/>
    <cellStyle name="Normal 11 3" xfId="101"/>
    <cellStyle name="Normal 12" xfId="102"/>
    <cellStyle name="Normal 2" xfId="1"/>
    <cellStyle name="Normal 2 2" xfId="54"/>
    <cellStyle name="Normal 2 2 2" xfId="127"/>
    <cellStyle name="Normal 2 2 3" xfId="149"/>
    <cellStyle name="Normal 2 3" xfId="53"/>
    <cellStyle name="Normal 3" xfId="3"/>
    <cellStyle name="Normal 3 2" xfId="103"/>
    <cellStyle name="Normal 4" xfId="41"/>
    <cellStyle name="Normal 4 2" xfId="49"/>
    <cellStyle name="Normal 4 2 2" xfId="104"/>
    <cellStyle name="Normal 4 2 3" xfId="130"/>
    <cellStyle name="Normal 4 3" xfId="105"/>
    <cellStyle name="Normal 4 4" xfId="128"/>
    <cellStyle name="Normal 4_Energy Model" xfId="50"/>
    <cellStyle name="Normal 5" xfId="51"/>
    <cellStyle name="Normal 5 2" xfId="106"/>
    <cellStyle name="Normal 5 3" xfId="131"/>
    <cellStyle name="Normal 6" xfId="107"/>
    <cellStyle name="Normal 6 2" xfId="138"/>
    <cellStyle name="Normal 6 3" xfId="139"/>
    <cellStyle name="Normal 7" xfId="108"/>
    <cellStyle name="Normal 8" xfId="109"/>
    <cellStyle name="Normal 9" xfId="110"/>
    <cellStyle name="Note 2" xfId="42"/>
    <cellStyle name="Note 2 2" xfId="111"/>
    <cellStyle name="Note 2 2 2" xfId="166"/>
    <cellStyle name="Note 2 2 3" xfId="176"/>
    <cellStyle name="Note 2 3" xfId="157"/>
    <cellStyle name="Note 2 4" xfId="187"/>
    <cellStyle name="Note 3" xfId="112"/>
    <cellStyle name="Note 3 2" xfId="113"/>
    <cellStyle name="Note 3 2 2" xfId="168"/>
    <cellStyle name="Note 3 2 3" xfId="175"/>
    <cellStyle name="Note 3 3" xfId="167"/>
    <cellStyle name="Note 3 4" xfId="182"/>
    <cellStyle name="Output 2" xfId="43"/>
    <cellStyle name="Output 2 2" xfId="114"/>
    <cellStyle name="Output 2 2 2" xfId="169"/>
    <cellStyle name="Output 2 2 3" xfId="189"/>
    <cellStyle name="Output 2 3" xfId="158"/>
    <cellStyle name="Output 2 4" xfId="179"/>
    <cellStyle name="Output 3" xfId="115"/>
    <cellStyle name="Output 3 2" xfId="116"/>
    <cellStyle name="Output 3 2 2" xfId="171"/>
    <cellStyle name="Output 3 2 3" xfId="191"/>
    <cellStyle name="Output 3 3" xfId="170"/>
    <cellStyle name="Output 3 4" xfId="190"/>
    <cellStyle name="Percent" xfId="150" builtinId="5"/>
    <cellStyle name="Percent 2" xfId="2"/>
    <cellStyle name="Percent 2 2" xfId="117"/>
    <cellStyle name="Percent 2 3" xfId="140"/>
    <cellStyle name="Percent 3" xfId="44"/>
    <cellStyle name="Percent 3 2" xfId="118"/>
    <cellStyle name="Percent 4" xfId="45"/>
    <cellStyle name="Percent 4 2" xfId="52"/>
    <cellStyle name="Percent 4 2 2" xfId="119"/>
    <cellStyle name="Percent 4 2 3" xfId="132"/>
    <cellStyle name="Percent 4 3" xfId="120"/>
    <cellStyle name="Percent 4 4" xfId="129"/>
    <cellStyle name="Percent 5" xfId="121"/>
    <cellStyle name="Style 1" xfId="141"/>
    <cellStyle name="Style 1 2" xfId="142"/>
    <cellStyle name="Style 1 2 2" xfId="143"/>
    <cellStyle name="Style 1 3" xfId="144"/>
    <cellStyle name="Style 1 3 2" xfId="145"/>
    <cellStyle name="Style 1 3 3" xfId="146"/>
    <cellStyle name="Style 1 4" xfId="147"/>
    <cellStyle name="Style 1 5" xfId="148"/>
    <cellStyle name="Title 2" xfId="46"/>
    <cellStyle name="Title 3" xfId="122"/>
    <cellStyle name="Total 2" xfId="47"/>
    <cellStyle name="Total 2 2" xfId="123"/>
    <cellStyle name="Total 2 2 2" xfId="172"/>
    <cellStyle name="Total 2 2 3" xfId="192"/>
    <cellStyle name="Total 2 3" xfId="159"/>
    <cellStyle name="Total 2 4" xfId="180"/>
    <cellStyle name="Total 3" xfId="124"/>
    <cellStyle name="Total 3 2" xfId="125"/>
    <cellStyle name="Total 3 2 2" xfId="174"/>
    <cellStyle name="Total 3 2 3" xfId="194"/>
    <cellStyle name="Total 3 3" xfId="173"/>
    <cellStyle name="Total 3 4" xfId="193"/>
    <cellStyle name="Warning Text 2" xfId="48"/>
    <cellStyle name="Warning Text 3" xfId="12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Graphs'!$B$2:$E$2</c:f>
              <c:numCache>
                <c:formatCode>General</c:formatCode>
                <c:ptCount val="4"/>
                <c:pt idx="0">
                  <c:v>1</c:v>
                </c:pt>
                <c:pt idx="1">
                  <c:v>10</c:v>
                </c:pt>
                <c:pt idx="2">
                  <c:v>50</c:v>
                </c:pt>
                <c:pt idx="3">
                  <c:v>100</c:v>
                </c:pt>
              </c:numCache>
            </c:numRef>
          </c:cat>
          <c:val>
            <c:numRef>
              <c:f>'Report Tables'!$B$7:$E$7</c:f>
              <c:numCache>
                <c:formatCode>"$"#,##0</c:formatCode>
                <c:ptCount val="4"/>
                <c:pt idx="0">
                  <c:v>3945</c:v>
                </c:pt>
                <c:pt idx="1">
                  <c:v>8191</c:v>
                </c:pt>
                <c:pt idx="2">
                  <c:v>10161</c:v>
                </c:pt>
                <c:pt idx="3">
                  <c:v>10799</c:v>
                </c:pt>
              </c:numCache>
            </c:numRef>
          </c:val>
        </c:ser>
        <c:ser>
          <c:idx val="1"/>
          <c:order val="1"/>
          <c:tx>
            <c:strRef>
              <c:f>'Report Tables'!$A$8</c:f>
              <c:strCache>
                <c:ptCount val="1"/>
                <c:pt idx="0">
                  <c:v>Infrastructure</c:v>
                </c:pt>
              </c:strCache>
            </c:strRef>
          </c:tx>
          <c:invertIfNegative val="0"/>
          <c:cat>
            <c:numRef>
              <c:f>'Report Graphs'!$B$2:$E$2</c:f>
              <c:numCache>
                <c:formatCode>General</c:formatCode>
                <c:ptCount val="4"/>
                <c:pt idx="0">
                  <c:v>1</c:v>
                </c:pt>
                <c:pt idx="1">
                  <c:v>10</c:v>
                </c:pt>
                <c:pt idx="2">
                  <c:v>50</c:v>
                </c:pt>
                <c:pt idx="3">
                  <c:v>100</c:v>
                </c:pt>
              </c:numCache>
            </c:numRef>
          </c:cat>
          <c:val>
            <c:numRef>
              <c:f>'Report Tables'!$B$8:$E$8</c:f>
              <c:numCache>
                <c:formatCode>"$"#,##0</c:formatCode>
                <c:ptCount val="4"/>
                <c:pt idx="0">
                  <c:v>1087</c:v>
                </c:pt>
                <c:pt idx="1">
                  <c:v>7608</c:v>
                </c:pt>
                <c:pt idx="2">
                  <c:v>14186</c:v>
                </c:pt>
                <c:pt idx="3">
                  <c:v>33190</c:v>
                </c:pt>
              </c:numCache>
            </c:numRef>
          </c:val>
        </c:ser>
        <c:ser>
          <c:idx val="3"/>
          <c:order val="2"/>
          <c:tx>
            <c:strRef>
              <c:f>'Report Tables'!$A$9</c:f>
              <c:strCache>
                <c:ptCount val="1"/>
                <c:pt idx="0">
                  <c:v>Mooring/Foundation</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Tables'!$B$9:$E$9</c:f>
              <c:numCache>
                <c:formatCode>"$"#,##0</c:formatCode>
                <c:ptCount val="4"/>
                <c:pt idx="0">
                  <c:v>1264</c:v>
                </c:pt>
                <c:pt idx="1">
                  <c:v>8330</c:v>
                </c:pt>
                <c:pt idx="2">
                  <c:v>37594</c:v>
                </c:pt>
                <c:pt idx="3">
                  <c:v>72750</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Tables'!$B$10:$E$10</c:f>
              <c:numCache>
                <c:formatCode>"$"#,##0</c:formatCode>
                <c:ptCount val="4"/>
                <c:pt idx="0">
                  <c:v>3817</c:v>
                </c:pt>
                <c:pt idx="1">
                  <c:v>26838</c:v>
                </c:pt>
                <c:pt idx="2">
                  <c:v>118871</c:v>
                </c:pt>
                <c:pt idx="3">
                  <c:v>230967</c:v>
                </c:pt>
              </c:numCache>
            </c:numRef>
          </c:val>
        </c:ser>
        <c:ser>
          <c:idx val="5"/>
          <c:order val="4"/>
          <c:tx>
            <c:strRef>
              <c:f>'Report Tables'!$A$11</c:f>
              <c:strCache>
                <c:ptCount val="1"/>
                <c:pt idx="0">
                  <c:v>Power Conversion Chain</c:v>
                </c:pt>
              </c:strCache>
            </c:strRef>
          </c:tx>
          <c:invertIfNegative val="0"/>
          <c:cat>
            <c:numRef>
              <c:f>'Report Graphs'!$B$2:$E$2</c:f>
              <c:numCache>
                <c:formatCode>General</c:formatCode>
                <c:ptCount val="4"/>
                <c:pt idx="0">
                  <c:v>1</c:v>
                </c:pt>
                <c:pt idx="1">
                  <c:v>10</c:v>
                </c:pt>
                <c:pt idx="2">
                  <c:v>50</c:v>
                </c:pt>
                <c:pt idx="3">
                  <c:v>100</c:v>
                </c:pt>
              </c:numCache>
            </c:numRef>
          </c:cat>
          <c:val>
            <c:numRef>
              <c:f>'Report Tables'!$B$11:$E$11</c:f>
              <c:numCache>
                <c:formatCode>"$"#,##0</c:formatCode>
                <c:ptCount val="4"/>
                <c:pt idx="0">
                  <c:v>588</c:v>
                </c:pt>
                <c:pt idx="1">
                  <c:v>4723</c:v>
                </c:pt>
                <c:pt idx="2">
                  <c:v>20734</c:v>
                </c:pt>
                <c:pt idx="3">
                  <c:v>39382</c:v>
                </c:pt>
              </c:numCache>
            </c:numRef>
          </c:val>
        </c:ser>
        <c:ser>
          <c:idx val="2"/>
          <c:order val="5"/>
          <c:tx>
            <c:strRef>
              <c:f>'Report Tables'!$A$12</c:f>
              <c:strCache>
                <c:ptCount val="1"/>
                <c:pt idx="0">
                  <c:v>Subsystem Integration &amp; Profit Margin</c:v>
                </c:pt>
              </c:strCache>
            </c:strRef>
          </c:tx>
          <c:invertIfNegative val="0"/>
          <c:cat>
            <c:numRef>
              <c:f>'Report Graphs'!$B$2:$E$2</c:f>
              <c:numCache>
                <c:formatCode>General</c:formatCode>
                <c:ptCount val="4"/>
                <c:pt idx="0">
                  <c:v>1</c:v>
                </c:pt>
                <c:pt idx="1">
                  <c:v>10</c:v>
                </c:pt>
                <c:pt idx="2">
                  <c:v>50</c:v>
                </c:pt>
                <c:pt idx="3">
                  <c:v>100</c:v>
                </c:pt>
              </c:numCache>
            </c:numRef>
          </c:cat>
          <c:val>
            <c:numRef>
              <c:f>'Report Tables'!$B$12:$E$12</c:f>
              <c:numCache>
                <c:formatCode>"$"#,##0</c:formatCode>
                <c:ptCount val="4"/>
                <c:pt idx="0">
                  <c:v>441</c:v>
                </c:pt>
                <c:pt idx="1">
                  <c:v>3156</c:v>
                </c:pt>
                <c:pt idx="2">
                  <c:v>13961</c:v>
                </c:pt>
                <c:pt idx="3">
                  <c:v>27035</c:v>
                </c:pt>
              </c:numCache>
            </c:numRef>
          </c:val>
        </c:ser>
        <c:ser>
          <c:idx val="6"/>
          <c:order val="6"/>
          <c:tx>
            <c:strRef>
              <c:f>'Report Tables'!$A$13</c:f>
              <c:strCache>
                <c:ptCount val="1"/>
                <c:pt idx="0">
                  <c:v>Installation</c:v>
                </c:pt>
              </c:strCache>
            </c:strRef>
          </c:tx>
          <c:invertIfNegative val="0"/>
          <c:cat>
            <c:numRef>
              <c:f>'Report Graphs'!$B$2:$E$2</c:f>
              <c:numCache>
                <c:formatCode>General</c:formatCode>
                <c:ptCount val="4"/>
                <c:pt idx="0">
                  <c:v>1</c:v>
                </c:pt>
                <c:pt idx="1">
                  <c:v>10</c:v>
                </c:pt>
                <c:pt idx="2">
                  <c:v>50</c:v>
                </c:pt>
                <c:pt idx="3">
                  <c:v>100</c:v>
                </c:pt>
              </c:numCache>
            </c:numRef>
          </c:cat>
          <c:val>
            <c:numRef>
              <c:f>'Report Tables'!$B$13:$E$13</c:f>
              <c:numCache>
                <c:formatCode>"$"#,##0</c:formatCode>
                <c:ptCount val="4"/>
                <c:pt idx="0">
                  <c:v>5909</c:v>
                </c:pt>
                <c:pt idx="1">
                  <c:v>9082</c:v>
                </c:pt>
                <c:pt idx="2">
                  <c:v>21531</c:v>
                </c:pt>
                <c:pt idx="3">
                  <c:v>37860</c:v>
                </c:pt>
              </c:numCache>
            </c:numRef>
          </c:val>
        </c:ser>
        <c:ser>
          <c:idx val="7"/>
          <c:order val="7"/>
          <c:tx>
            <c:strRef>
              <c:f>'Report Tables'!$A$14</c:f>
              <c:strCache>
                <c:ptCount val="1"/>
                <c:pt idx="0">
                  <c:v>Contingency</c:v>
                </c:pt>
              </c:strCache>
            </c:strRef>
          </c:tx>
          <c:invertIfNegative val="0"/>
          <c:cat>
            <c:numRef>
              <c:f>'Report Graphs'!$B$2:$E$2</c:f>
              <c:numCache>
                <c:formatCode>General</c:formatCode>
                <c:ptCount val="4"/>
                <c:pt idx="0">
                  <c:v>1</c:v>
                </c:pt>
                <c:pt idx="1">
                  <c:v>10</c:v>
                </c:pt>
                <c:pt idx="2">
                  <c:v>50</c:v>
                </c:pt>
                <c:pt idx="3">
                  <c:v>100</c:v>
                </c:pt>
              </c:numCache>
            </c:numRef>
          </c:cat>
          <c:val>
            <c:numRef>
              <c:f>'Report Tables'!$B$14:$E$14</c:f>
              <c:numCache>
                <c:formatCode>"$"#,##0</c:formatCode>
                <c:ptCount val="4"/>
                <c:pt idx="0">
                  <c:v>1705</c:v>
                </c:pt>
                <c:pt idx="1">
                  <c:v>6793</c:v>
                </c:pt>
                <c:pt idx="2">
                  <c:v>23704</c:v>
                </c:pt>
                <c:pt idx="3">
                  <c:v>45198</c:v>
                </c:pt>
              </c:numCache>
            </c:numRef>
          </c:val>
        </c:ser>
        <c:dLbls>
          <c:showLegendKey val="0"/>
          <c:showVal val="0"/>
          <c:showCatName val="0"/>
          <c:showSerName val="0"/>
          <c:showPercent val="0"/>
          <c:showBubbleSize val="0"/>
        </c:dLbls>
        <c:gapWidth val="150"/>
        <c:overlap val="100"/>
        <c:axId val="102463744"/>
        <c:axId val="102482304"/>
      </c:barChart>
      <c:catAx>
        <c:axId val="102463744"/>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102482304"/>
        <c:crosses val="autoZero"/>
        <c:auto val="1"/>
        <c:lblAlgn val="ctr"/>
        <c:lblOffset val="100"/>
        <c:noMultiLvlLbl val="0"/>
      </c:catAx>
      <c:valAx>
        <c:axId val="102482304"/>
        <c:scaling>
          <c:orientation val="minMax"/>
          <c:min val="0"/>
        </c:scaling>
        <c:delete val="0"/>
        <c:axPos val="l"/>
        <c:majorGridlines>
          <c:spPr>
            <a:ln>
              <a:solidFill>
                <a:schemeClr val="bg1">
                  <a:lumMod val="85000"/>
                </a:schemeClr>
              </a:solidFill>
            </a:ln>
          </c:spPr>
        </c:majorGridlines>
        <c:title>
          <c:tx>
            <c:strRef>
              <c:f>'Report Tables'!$A$4</c:f>
              <c:strCache>
                <c:ptCount val="1"/>
                <c:pt idx="0">
                  <c:v>Total Cost in Thousands ($)</c:v>
                </c:pt>
              </c:strCache>
            </c:strRef>
          </c:tx>
          <c:overlay val="0"/>
          <c:txPr>
            <a:bodyPr rot="-5400000" vert="horz"/>
            <a:lstStyle/>
            <a:p>
              <a:pPr>
                <a:defRPr/>
              </a:pPr>
              <a:endParaRPr lang="en-US"/>
            </a:p>
          </c:txPr>
        </c:title>
        <c:numFmt formatCode="&quot;$&quot;#,##0" sourceLinked="1"/>
        <c:majorTickMark val="out"/>
        <c:minorTickMark val="none"/>
        <c:tickLblPos val="nextTo"/>
        <c:crossAx val="102463744"/>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000000000000133" l="0.70000000000000062" r="0.70000000000000062" t="0.750000000000001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068620063272E-2"/>
          <c:y val="3.7855439125480755E-2"/>
          <c:w val="0.85855879665527435"/>
          <c:h val="0.81786333241008347"/>
        </c:manualLayout>
      </c:layout>
      <c:scatterChart>
        <c:scatterStyle val="smoothMarker"/>
        <c:varyColors val="0"/>
        <c:ser>
          <c:idx val="0"/>
          <c:order val="0"/>
          <c:spPr>
            <a:ln w="31750">
              <a:solidFill>
                <a:srgbClr val="0070C0"/>
              </a:solidFill>
              <a:prstDash val="solid"/>
            </a:ln>
          </c:spPr>
          <c:marker>
            <c:symbol val="none"/>
          </c:marker>
          <c:xVal>
            <c:numRef>
              <c:f>'Report Graphs'!$B$216:$U$216</c:f>
              <c:numCache>
                <c:formatCode>General</c:formatCode>
                <c:ptCount val="20"/>
              </c:numCache>
            </c:numRef>
          </c:xVal>
          <c:yVal>
            <c:numRef>
              <c:f>'Report Graphs'!$B$217:$U$217</c:f>
              <c:numCache>
                <c:formatCode>0%</c:formatCode>
                <c:ptCount val="20"/>
              </c:numCache>
            </c:numRef>
          </c:yVal>
          <c:smooth val="1"/>
        </c:ser>
        <c:ser>
          <c:idx val="1"/>
          <c:order val="1"/>
          <c:spPr>
            <a:ln>
              <a:prstDash val="dash"/>
            </a:ln>
          </c:spPr>
          <c:marker>
            <c:symbol val="none"/>
          </c:marker>
          <c:xVal>
            <c:numRef>
              <c:f>('Report Graphs'!$B$221,'Report Graphs'!$B$221)</c:f>
              <c:numCache>
                <c:formatCode>#,##0.00</c:formatCode>
                <c:ptCount val="2"/>
              </c:numCache>
            </c:numRef>
          </c:xVal>
          <c:yVal>
            <c:numRef>
              <c:f>('Report Graphs'!$B$217,'Report Graphs'!$U$217)</c:f>
              <c:numCache>
                <c:formatCode>0%</c:formatCode>
                <c:ptCount val="2"/>
              </c:numCache>
            </c:numRef>
          </c:yVal>
          <c:smooth val="1"/>
        </c:ser>
        <c:ser>
          <c:idx val="2"/>
          <c:order val="2"/>
          <c:spPr>
            <a:ln>
              <a:prstDash val="dash"/>
            </a:ln>
          </c:spPr>
          <c:marker>
            <c:symbol val="none"/>
          </c:marker>
          <c:xVal>
            <c:numRef>
              <c:f>('Report Graphs'!$B$223,'Report Graphs'!$B$223)</c:f>
              <c:numCache>
                <c:formatCode>#,##0.00</c:formatCode>
                <c:ptCount val="2"/>
              </c:numCache>
            </c:numRef>
          </c:xVal>
          <c:yVal>
            <c:numRef>
              <c:f>('Report Graphs'!$B$217,'Report Graphs'!$U$217)</c:f>
              <c:numCache>
                <c:formatCode>0%</c:formatCode>
                <c:ptCount val="2"/>
              </c:numCache>
            </c:numRef>
          </c:yVal>
          <c:smooth val="1"/>
        </c:ser>
        <c:dLbls>
          <c:showLegendKey val="0"/>
          <c:showVal val="0"/>
          <c:showCatName val="0"/>
          <c:showSerName val="0"/>
          <c:showPercent val="0"/>
          <c:showBubbleSize val="0"/>
        </c:dLbls>
        <c:axId val="104114432"/>
        <c:axId val="104116608"/>
      </c:scatterChart>
      <c:valAx>
        <c:axId val="104114432"/>
        <c:scaling>
          <c:orientation val="minMax"/>
          <c:min val="10"/>
        </c:scaling>
        <c:delete val="0"/>
        <c:axPos val="b"/>
        <c:majorGridlines>
          <c:spPr>
            <a:ln>
              <a:solidFill>
                <a:schemeClr val="bg1">
                  <a:lumMod val="85000"/>
                </a:schemeClr>
              </a:solidFill>
            </a:ln>
          </c:spPr>
        </c:majorGridlines>
        <c:title>
          <c:tx>
            <c:rich>
              <a:bodyPr/>
              <a:lstStyle/>
              <a:p>
                <a:pPr>
                  <a:defRPr/>
                </a:pPr>
                <a:r>
                  <a:rPr lang="en-US"/>
                  <a:t>Cost of Electricity (cents / kWh)</a:t>
                </a:r>
              </a:p>
            </c:rich>
          </c:tx>
          <c:overlay val="0"/>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116608"/>
        <c:crosses val="autoZero"/>
        <c:crossBetween val="midCat"/>
      </c:valAx>
      <c:valAx>
        <c:axId val="104116608"/>
        <c:scaling>
          <c:orientation val="minMax"/>
          <c:max val="1"/>
          <c:min val="0"/>
        </c:scaling>
        <c:delete val="0"/>
        <c:axPos val="l"/>
        <c:majorGridlines>
          <c:spPr>
            <a:ln>
              <a:solidFill>
                <a:schemeClr val="bg1">
                  <a:lumMod val="85000"/>
                </a:schemeClr>
              </a:solidFill>
            </a:ln>
          </c:spPr>
        </c:majorGridlines>
        <c:title>
          <c:tx>
            <c:rich>
              <a:bodyPr rot="-5400000" vert="horz"/>
              <a:lstStyle/>
              <a:p>
                <a:pPr>
                  <a:defRPr/>
                </a:pPr>
                <a:r>
                  <a:rPr lang="en-US"/>
                  <a:t>Cumulative Probability</a:t>
                </a:r>
              </a:p>
            </c:rich>
          </c:tx>
          <c:layout>
            <c:manualLayout>
              <c:xMode val="edge"/>
              <c:yMode val="edge"/>
              <c:x val="1.45630339896833E-2"/>
              <c:y val="0.26342025086060261"/>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114432"/>
        <c:crosses val="autoZero"/>
        <c:crossBetween val="midCat"/>
      </c:valAx>
      <c:spPr>
        <a:solidFill>
          <a:srgbClr val="FFFFFF"/>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Tables'!$A$92</c:f>
              <c:strCache>
                <c:ptCount val="1"/>
                <c:pt idx="0">
                  <c:v>Device</c:v>
                </c:pt>
              </c:strCache>
            </c:strRef>
          </c:tx>
          <c:invertIfNegative val="0"/>
          <c:cat>
            <c:numRef>
              <c:f>'Report Graphs'!$C$2:$E$2</c:f>
              <c:numCache>
                <c:formatCode>General</c:formatCode>
                <c:ptCount val="3"/>
                <c:pt idx="0">
                  <c:v>10</c:v>
                </c:pt>
                <c:pt idx="1">
                  <c:v>50</c:v>
                </c:pt>
                <c:pt idx="2">
                  <c:v>100</c:v>
                </c:pt>
              </c:numCache>
            </c:numRef>
          </c:cat>
          <c:val>
            <c:numRef>
              <c:f>('Report Tables'!$B$92,'Report Tables'!$D$92,'Report Tables'!$F$92)</c:f>
              <c:numCache>
                <c:formatCode>0.0</c:formatCode>
                <c:ptCount val="3"/>
                <c:pt idx="0">
                  <c:v>30.044512114326693</c:v>
                </c:pt>
                <c:pt idx="1">
                  <c:v>26.701832147134073</c:v>
                </c:pt>
                <c:pt idx="2">
                  <c:v>25.858806146150457</c:v>
                </c:pt>
              </c:numCache>
            </c:numRef>
          </c:val>
        </c:ser>
        <c:ser>
          <c:idx val="1"/>
          <c:order val="1"/>
          <c:tx>
            <c:strRef>
              <c:f>'Report Tables'!$A$93</c:f>
              <c:strCache>
                <c:ptCount val="1"/>
                <c:pt idx="0">
                  <c:v>Infrastructure</c:v>
                </c:pt>
              </c:strCache>
            </c:strRef>
          </c:tx>
          <c:invertIfNegative val="0"/>
          <c:cat>
            <c:numRef>
              <c:f>'Report Graphs'!$C$2:$E$2</c:f>
              <c:numCache>
                <c:formatCode>General</c:formatCode>
                <c:ptCount val="3"/>
                <c:pt idx="0">
                  <c:v>10</c:v>
                </c:pt>
                <c:pt idx="1">
                  <c:v>50</c:v>
                </c:pt>
                <c:pt idx="2">
                  <c:v>100</c:v>
                </c:pt>
              </c:numCache>
            </c:numRef>
          </c:cat>
          <c:val>
            <c:numRef>
              <c:f>('Report Tables'!$B$93,'Report Tables'!$D$93,'Report Tables'!$F$93)</c:f>
              <c:numCache>
                <c:formatCode>0.0</c:formatCode>
                <c:ptCount val="3"/>
                <c:pt idx="0">
                  <c:v>9.3264492587474557</c:v>
                </c:pt>
                <c:pt idx="1">
                  <c:v>3.4780496631070292</c:v>
                </c:pt>
                <c:pt idx="2">
                  <c:v>4.0686757478684017</c:v>
                </c:pt>
              </c:numCache>
            </c:numRef>
          </c:val>
        </c:ser>
        <c:ser>
          <c:idx val="3"/>
          <c:order val="2"/>
          <c:tx>
            <c:strRef>
              <c:f>'Report Tables'!$A$94</c:f>
              <c:strCache>
                <c:ptCount val="1"/>
                <c:pt idx="0">
                  <c:v>Development</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Tables'!$B$94,'Report Tables'!$D$94,'Report Tables'!$F$94)</c:f>
              <c:numCache>
                <c:formatCode>0.0</c:formatCode>
                <c:ptCount val="3"/>
                <c:pt idx="0">
                  <c:v>10.040592045044026</c:v>
                </c:pt>
                <c:pt idx="1">
                  <c:v>2.4911735319915005</c:v>
                </c:pt>
                <c:pt idx="2">
                  <c:v>1.3237985110466268</c:v>
                </c:pt>
              </c:numCache>
            </c:numRef>
          </c:val>
        </c:ser>
        <c:ser>
          <c:idx val="4"/>
          <c:order val="3"/>
          <c:tx>
            <c:strRef>
              <c:f>'Report Tables'!$A$95</c:f>
              <c:strCache>
                <c:ptCount val="1"/>
                <c:pt idx="0">
                  <c:v>Installation</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Tables'!$B$95,'Report Tables'!$D$95,'Report Tables'!$F$95)</c:f>
              <c:numCache>
                <c:formatCode>0.0</c:formatCode>
                <c:ptCount val="3"/>
                <c:pt idx="0">
                  <c:v>0.10222468515441127</c:v>
                </c:pt>
                <c:pt idx="1">
                  <c:v>6.0888839917026386E-2</c:v>
                </c:pt>
                <c:pt idx="2">
                  <c:v>4.8711071933621099E-2</c:v>
                </c:pt>
              </c:numCache>
            </c:numRef>
          </c:val>
        </c:ser>
        <c:ser>
          <c:idx val="5"/>
          <c:order val="4"/>
          <c:tx>
            <c:strRef>
              <c:f>'Report Tables'!$A$96</c:f>
              <c:strCache>
                <c:ptCount val="1"/>
                <c:pt idx="0">
                  <c:v>Contingency</c:v>
                </c:pt>
              </c:strCache>
            </c:strRef>
          </c:tx>
          <c:invertIfNegative val="0"/>
          <c:cat>
            <c:numRef>
              <c:f>'Report Graphs'!$C$2:$E$2</c:f>
              <c:numCache>
                <c:formatCode>General</c:formatCode>
                <c:ptCount val="3"/>
                <c:pt idx="0">
                  <c:v>10</c:v>
                </c:pt>
                <c:pt idx="1">
                  <c:v>50</c:v>
                </c:pt>
                <c:pt idx="2">
                  <c:v>100</c:v>
                </c:pt>
              </c:numCache>
            </c:numRef>
          </c:cat>
          <c:val>
            <c:numRef>
              <c:f>('Report Tables'!$B$96,'Report Tables'!$D$96,'Report Tables'!$F$96)</c:f>
              <c:numCache>
                <c:formatCode>0.0</c:formatCode>
                <c:ptCount val="3"/>
                <c:pt idx="0">
                  <c:v>1.1232376833016331</c:v>
                </c:pt>
                <c:pt idx="1">
                  <c:v>0.94499560624828383</c:v>
                </c:pt>
                <c:pt idx="2">
                  <c:v>0.92271534661661525</c:v>
                </c:pt>
              </c:numCache>
            </c:numRef>
          </c:val>
        </c:ser>
        <c:ser>
          <c:idx val="2"/>
          <c:order val="5"/>
          <c:tx>
            <c:strRef>
              <c:f>'Report Tables'!$A$97</c:f>
              <c:strCache>
                <c:ptCount val="1"/>
                <c:pt idx="0">
                  <c:v>Operation and Maintenance</c:v>
                </c:pt>
              </c:strCache>
            </c:strRef>
          </c:tx>
          <c:invertIfNegative val="0"/>
          <c:cat>
            <c:numRef>
              <c:f>'Report Graphs'!$C$2:$E$2</c:f>
              <c:numCache>
                <c:formatCode>General</c:formatCode>
                <c:ptCount val="3"/>
                <c:pt idx="0">
                  <c:v>10</c:v>
                </c:pt>
                <c:pt idx="1">
                  <c:v>50</c:v>
                </c:pt>
                <c:pt idx="2">
                  <c:v>100</c:v>
                </c:pt>
              </c:numCache>
            </c:numRef>
          </c:cat>
          <c:val>
            <c:numRef>
              <c:f>('Report Tables'!$B$97,'Report Tables'!$D$97,'Report Tables'!$F$97)</c:f>
              <c:numCache>
                <c:formatCode>0.0</c:formatCode>
                <c:ptCount val="3"/>
                <c:pt idx="0">
                  <c:v>52.42185710623091</c:v>
                </c:pt>
                <c:pt idx="1">
                  <c:v>13.261330478384178</c:v>
                </c:pt>
                <c:pt idx="2">
                  <c:v>8.2736764141479817</c:v>
                </c:pt>
              </c:numCache>
            </c:numRef>
          </c:val>
        </c:ser>
        <c:dLbls>
          <c:showLegendKey val="0"/>
          <c:showVal val="0"/>
          <c:showCatName val="0"/>
          <c:showSerName val="0"/>
          <c:showPercent val="0"/>
          <c:showBubbleSize val="0"/>
        </c:dLbls>
        <c:gapWidth val="150"/>
        <c:overlap val="100"/>
        <c:axId val="105938944"/>
        <c:axId val="105940864"/>
      </c:barChart>
      <c:catAx>
        <c:axId val="105938944"/>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manualLayout>
              <c:xMode val="edge"/>
              <c:yMode val="edge"/>
              <c:x val="0.38175822733534792"/>
              <c:y val="0.91778647923440304"/>
            </c:manualLayout>
          </c:layout>
          <c:overlay val="0"/>
        </c:title>
        <c:numFmt formatCode="0" sourceLinked="0"/>
        <c:majorTickMark val="out"/>
        <c:minorTickMark val="none"/>
        <c:tickLblPos val="nextTo"/>
        <c:crossAx val="105940864"/>
        <c:crosses val="autoZero"/>
        <c:auto val="1"/>
        <c:lblAlgn val="ctr"/>
        <c:lblOffset val="100"/>
        <c:noMultiLvlLbl val="0"/>
      </c:catAx>
      <c:valAx>
        <c:axId val="105940864"/>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318E-3"/>
              <c:y val="0.31372635021380968"/>
            </c:manualLayout>
          </c:layout>
          <c:overlay val="0"/>
        </c:title>
        <c:numFmt formatCode="0.0" sourceLinked="1"/>
        <c:majorTickMark val="out"/>
        <c:minorTickMark val="none"/>
        <c:tickLblPos val="nextTo"/>
        <c:crossAx val="105938944"/>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000000000000133" l="0.70000000000000062" r="0.70000000000000062" t="0.750000000000001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'NEW Report Graphs and Tables'!$B$310</c:f>
              <c:strCache>
                <c:ptCount val="1"/>
                <c:pt idx="0">
                  <c:v>Development</c:v>
                </c:pt>
              </c:strCache>
            </c:strRef>
          </c:tx>
          <c:invertIfNegative val="0"/>
          <c:cat>
            <c:numRef>
              <c:f>'NEW Report Graphs and Tables'!$C$309:$F$309</c:f>
              <c:numCache>
                <c:formatCode>General</c:formatCode>
                <c:ptCount val="4"/>
                <c:pt idx="0">
                  <c:v>1</c:v>
                </c:pt>
                <c:pt idx="1">
                  <c:v>10</c:v>
                </c:pt>
                <c:pt idx="2">
                  <c:v>50</c:v>
                </c:pt>
                <c:pt idx="3">
                  <c:v>100</c:v>
                </c:pt>
              </c:numCache>
            </c:numRef>
          </c:cat>
          <c:val>
            <c:numRef>
              <c:f>'NEW Report Graphs and Tables'!$C$310:$F$310</c:f>
              <c:numCache>
                <c:formatCode>"$"#,##0.00</c:formatCode>
                <c:ptCount val="4"/>
                <c:pt idx="0">
                  <c:v>0.48365430775427287</c:v>
                </c:pt>
                <c:pt idx="1">
                  <c:v>0.10040592045044025</c:v>
                </c:pt>
                <c:pt idx="2">
                  <c:v>2.4911735319915005E-2</c:v>
                </c:pt>
                <c:pt idx="3">
                  <c:v>1.3237985110466269E-2</c:v>
                </c:pt>
              </c:numCache>
            </c:numRef>
          </c:val>
        </c:ser>
        <c:ser>
          <c:idx val="1"/>
          <c:order val="1"/>
          <c:tx>
            <c:strRef>
              <c:f>'NEW Report Graphs and Tables'!$B$311</c:f>
              <c:strCache>
                <c:ptCount val="1"/>
                <c:pt idx="0">
                  <c:v>Infrastructure</c:v>
                </c:pt>
              </c:strCache>
            </c:strRef>
          </c:tx>
          <c:invertIfNegative val="0"/>
          <c:cat>
            <c:numRef>
              <c:f>'NEW Report Graphs and Tables'!$C$309:$F$309</c:f>
              <c:numCache>
                <c:formatCode>General</c:formatCode>
                <c:ptCount val="4"/>
                <c:pt idx="0">
                  <c:v>1</c:v>
                </c:pt>
                <c:pt idx="1">
                  <c:v>10</c:v>
                </c:pt>
                <c:pt idx="2">
                  <c:v>50</c:v>
                </c:pt>
                <c:pt idx="3">
                  <c:v>100</c:v>
                </c:pt>
              </c:numCache>
            </c:numRef>
          </c:cat>
          <c:val>
            <c:numRef>
              <c:f>'NEW Report Graphs and Tables'!$C$311:$F$311</c:f>
              <c:numCache>
                <c:formatCode>"$"#,##0.00</c:formatCode>
                <c:ptCount val="4"/>
                <c:pt idx="0">
                  <c:v>0.13322798441649231</c:v>
                </c:pt>
                <c:pt idx="1">
                  <c:v>9.326449258747456E-2</c:v>
                </c:pt>
                <c:pt idx="2">
                  <c:v>3.4780496631070294E-2</c:v>
                </c:pt>
                <c:pt idx="3">
                  <c:v>4.068675747868402E-2</c:v>
                </c:pt>
              </c:numCache>
            </c:numRef>
          </c:val>
        </c:ser>
        <c:ser>
          <c:idx val="2"/>
          <c:order val="2"/>
          <c:tx>
            <c:strRef>
              <c:f>'NEW Report Graphs and Tables'!$B$312</c:f>
              <c:strCache>
                <c:ptCount val="1"/>
                <c:pt idx="0">
                  <c:v>Mooring/Foundation</c:v>
                </c:pt>
              </c:strCache>
            </c:strRef>
          </c:tx>
          <c:invertIfNegative val="0"/>
          <c:cat>
            <c:numRef>
              <c:f>'NEW Report Graphs and Tables'!$C$309:$F$309</c:f>
              <c:numCache>
                <c:formatCode>General</c:formatCode>
                <c:ptCount val="4"/>
                <c:pt idx="0">
                  <c:v>1</c:v>
                </c:pt>
                <c:pt idx="1">
                  <c:v>10</c:v>
                </c:pt>
                <c:pt idx="2">
                  <c:v>50</c:v>
                </c:pt>
                <c:pt idx="3">
                  <c:v>100</c:v>
                </c:pt>
              </c:numCache>
            </c:numRef>
          </c:cat>
          <c:val>
            <c:numRef>
              <c:f>'NEW Report Graphs and Tables'!$C$312:$F$312</c:f>
              <c:numCache>
                <c:formatCode>"$"#,##0.00</c:formatCode>
                <c:ptCount val="4"/>
                <c:pt idx="0">
                  <c:v>0.15494039975454757</c:v>
                </c:pt>
                <c:pt idx="1">
                  <c:v>0.10211785639379226</c:v>
                </c:pt>
                <c:pt idx="2">
                  <c:v>9.2171786516472703E-2</c:v>
                </c:pt>
                <c:pt idx="3">
                  <c:v>8.9181776887864911E-2</c:v>
                </c:pt>
              </c:numCache>
            </c:numRef>
          </c:val>
        </c:ser>
        <c:ser>
          <c:idx val="3"/>
          <c:order val="3"/>
          <c:tx>
            <c:strRef>
              <c:f>'NEW Report Graphs and Tables'!$B$313</c:f>
              <c:strCache>
                <c:ptCount val="1"/>
                <c:pt idx="0">
                  <c:v>Device Structural Components</c:v>
                </c:pt>
              </c:strCache>
            </c:strRef>
          </c:tx>
          <c:invertIfNegative val="0"/>
          <c:cat>
            <c:numRef>
              <c:f>'NEW Report Graphs and Tables'!$C$309:$F$309</c:f>
              <c:numCache>
                <c:formatCode>General</c:formatCode>
                <c:ptCount val="4"/>
                <c:pt idx="0">
                  <c:v>1</c:v>
                </c:pt>
                <c:pt idx="1">
                  <c:v>10</c:v>
                </c:pt>
                <c:pt idx="2">
                  <c:v>50</c:v>
                </c:pt>
                <c:pt idx="3">
                  <c:v>100</c:v>
                </c:pt>
              </c:numCache>
            </c:numRef>
          </c:cat>
          <c:val>
            <c:numRef>
              <c:f>'NEW Report Graphs and Tables'!$C$313:$F$313</c:f>
              <c:numCache>
                <c:formatCode>"$"#,##0.00</c:formatCode>
                <c:ptCount val="4"/>
                <c:pt idx="0">
                  <c:v>0.46792169657779498</c:v>
                </c:pt>
                <c:pt idx="1">
                  <c:v>0.32900180003784762</c:v>
                </c:pt>
                <c:pt idx="2">
                  <c:v>0.2914428678710681</c:v>
                </c:pt>
                <c:pt idx="3">
                  <c:v>0.28313656556495337</c:v>
                </c:pt>
              </c:numCache>
            </c:numRef>
          </c:val>
        </c:ser>
        <c:ser>
          <c:idx val="4"/>
          <c:order val="4"/>
          <c:tx>
            <c:strRef>
              <c:f>'NEW Report Graphs and Tables'!$B$314</c:f>
              <c:strCache>
                <c:ptCount val="1"/>
                <c:pt idx="0">
                  <c:v>PCC</c:v>
                </c:pt>
              </c:strCache>
            </c:strRef>
          </c:tx>
          <c:invertIfNegative val="0"/>
          <c:cat>
            <c:numRef>
              <c:f>'NEW Report Graphs and Tables'!$C$309:$F$309</c:f>
              <c:numCache>
                <c:formatCode>General</c:formatCode>
                <c:ptCount val="4"/>
                <c:pt idx="0">
                  <c:v>1</c:v>
                </c:pt>
                <c:pt idx="1">
                  <c:v>10</c:v>
                </c:pt>
                <c:pt idx="2">
                  <c:v>50</c:v>
                </c:pt>
                <c:pt idx="3">
                  <c:v>100</c:v>
                </c:pt>
              </c:numCache>
            </c:numRef>
          </c:cat>
          <c:val>
            <c:numRef>
              <c:f>'NEW Report Graphs and Tables'!$C$314:$F$314</c:f>
              <c:numCache>
                <c:formatCode>"$"#,##0.00</c:formatCode>
                <c:ptCount val="4"/>
                <c:pt idx="0">
                  <c:v>7.2099013193420991E-2</c:v>
                </c:pt>
                <c:pt idx="1">
                  <c:v>5.7902528396430931E-2</c:v>
                </c:pt>
                <c:pt idx="2">
                  <c:v>5.0834164607721367E-2</c:v>
                </c:pt>
                <c:pt idx="3">
                  <c:v>4.8277747760683984E-2</c:v>
                </c:pt>
              </c:numCache>
            </c:numRef>
          </c:val>
        </c:ser>
        <c:ser>
          <c:idx val="5"/>
          <c:order val="5"/>
          <c:tx>
            <c:strRef>
              <c:f>'NEW Report Graphs and Tables'!$B$315</c:f>
              <c:strCache>
                <c:ptCount val="1"/>
                <c:pt idx="0">
                  <c:v>Subsystem Integration &amp; Profit Margin</c:v>
                </c:pt>
              </c:strCache>
            </c:strRef>
          </c:tx>
          <c:invertIfNegative val="0"/>
          <c:cat>
            <c:numRef>
              <c:f>'NEW Report Graphs and Tables'!$C$309:$F$309</c:f>
              <c:numCache>
                <c:formatCode>General</c:formatCode>
                <c:ptCount val="4"/>
                <c:pt idx="0">
                  <c:v>1</c:v>
                </c:pt>
                <c:pt idx="1">
                  <c:v>10</c:v>
                </c:pt>
                <c:pt idx="2">
                  <c:v>50</c:v>
                </c:pt>
                <c:pt idx="3">
                  <c:v>100</c:v>
                </c:pt>
              </c:numCache>
            </c:numRef>
          </c:cat>
          <c:val>
            <c:numRef>
              <c:f>'NEW Report Graphs and Tables'!$C$315:$F$315</c:f>
              <c:numCache>
                <c:formatCode>"$"#,##0.00</c:formatCode>
                <c:ptCount val="4"/>
                <c:pt idx="0">
                  <c:v>5.4002070977121598E-2</c:v>
                </c:pt>
                <c:pt idx="1">
                  <c:v>3.8690432843427859E-2</c:v>
                </c:pt>
                <c:pt idx="2">
                  <c:v>3.4227703247878945E-2</c:v>
                </c:pt>
                <c:pt idx="3">
                  <c:v>3.3141431332563732E-2</c:v>
                </c:pt>
              </c:numCache>
            </c:numRef>
          </c:val>
        </c:ser>
        <c:ser>
          <c:idx val="6"/>
          <c:order val="6"/>
          <c:tx>
            <c:strRef>
              <c:f>'NEW Report Graphs and Tables'!$B$316</c:f>
              <c:strCache>
                <c:ptCount val="1"/>
                <c:pt idx="0">
                  <c:v>Installation</c:v>
                </c:pt>
              </c:strCache>
            </c:strRef>
          </c:tx>
          <c:invertIfNegative val="0"/>
          <c:cat>
            <c:numRef>
              <c:f>'NEW Report Graphs and Tables'!$C$309:$F$309</c:f>
              <c:numCache>
                <c:formatCode>General</c:formatCode>
                <c:ptCount val="4"/>
                <c:pt idx="0">
                  <c:v>1</c:v>
                </c:pt>
                <c:pt idx="1">
                  <c:v>10</c:v>
                </c:pt>
                <c:pt idx="2">
                  <c:v>50</c:v>
                </c:pt>
                <c:pt idx="3">
                  <c:v>100</c:v>
                </c:pt>
              </c:numCache>
            </c:numRef>
          </c:cat>
          <c:val>
            <c:numRef>
              <c:f>'NEW Report Graphs and Tables'!$C$316:$F$316</c:f>
              <c:numCache>
                <c:formatCode>"$"#,##0.00</c:formatCode>
                <c:ptCount val="4"/>
                <c:pt idx="0">
                  <c:v>0.72431037992798752</c:v>
                </c:pt>
                <c:pt idx="1">
                  <c:v>0.11133354601024631</c:v>
                </c:pt>
                <c:pt idx="2">
                  <c:v>5.2789138003286003E-2</c:v>
                </c:pt>
                <c:pt idx="3">
                  <c:v>4.641108717218561E-2</c:v>
                </c:pt>
              </c:numCache>
            </c:numRef>
          </c:val>
        </c:ser>
        <c:ser>
          <c:idx val="7"/>
          <c:order val="7"/>
          <c:tx>
            <c:strRef>
              <c:f>'NEW Report Graphs and Tables'!$B$317</c:f>
              <c:strCache>
                <c:ptCount val="1"/>
                <c:pt idx="0">
                  <c:v>Contingency</c:v>
                </c:pt>
              </c:strCache>
            </c:strRef>
          </c:tx>
          <c:invertIfNegative val="0"/>
          <c:cat>
            <c:numRef>
              <c:f>'NEW Report Graphs and Tables'!$C$309:$F$309</c:f>
              <c:numCache>
                <c:formatCode>General</c:formatCode>
                <c:ptCount val="4"/>
                <c:pt idx="0">
                  <c:v>1</c:v>
                </c:pt>
                <c:pt idx="1">
                  <c:v>10</c:v>
                </c:pt>
                <c:pt idx="2">
                  <c:v>50</c:v>
                </c:pt>
                <c:pt idx="3">
                  <c:v>100</c:v>
                </c:pt>
              </c:numCache>
            </c:numRef>
          </c:cat>
          <c:val>
            <c:numRef>
              <c:f>'NEW Report Graphs and Tables'!$C$317:$F$317</c:f>
              <c:numCache>
                <c:formatCode>"$"#,##0.00</c:formatCode>
                <c:ptCount val="4"/>
                <c:pt idx="0">
                  <c:v>0.20901558526016381</c:v>
                </c:pt>
                <c:pt idx="1">
                  <c:v>8.3271657671965968E-2</c:v>
                </c:pt>
                <c:pt idx="2">
                  <c:v>5.8115789219741233E-2</c:v>
                </c:pt>
                <c:pt idx="3">
                  <c:v>5.5407335130740192E-2</c:v>
                </c:pt>
              </c:numCache>
            </c:numRef>
          </c:val>
        </c:ser>
        <c:ser>
          <c:idx val="8"/>
          <c:order val="8"/>
          <c:tx>
            <c:strRef>
              <c:f>'NEW Report Graphs and Tables'!$B$318</c:f>
              <c:strCache>
                <c:ptCount val="1"/>
                <c:pt idx="0">
                  <c:v>Annualized OPEX</c:v>
                </c:pt>
              </c:strCache>
            </c:strRef>
          </c:tx>
          <c:invertIfNegative val="0"/>
          <c:cat>
            <c:numRef>
              <c:f>'NEW Report Graphs and Tables'!$C$309:$F$309</c:f>
              <c:numCache>
                <c:formatCode>General</c:formatCode>
                <c:ptCount val="4"/>
                <c:pt idx="0">
                  <c:v>1</c:v>
                </c:pt>
                <c:pt idx="1">
                  <c:v>10</c:v>
                </c:pt>
                <c:pt idx="2">
                  <c:v>50</c:v>
                </c:pt>
                <c:pt idx="3">
                  <c:v>100</c:v>
                </c:pt>
              </c:numCache>
            </c:numRef>
          </c:cat>
          <c:val>
            <c:numRef>
              <c:f>'NEW Report Graphs and Tables'!$C$318:$F$318</c:f>
              <c:numCache>
                <c:formatCode>"$"#,##0.00</c:formatCode>
                <c:ptCount val="4"/>
                <c:pt idx="0">
                  <c:v>1.295373592106926</c:v>
                </c:pt>
                <c:pt idx="1">
                  <c:v>0.52421857106230907</c:v>
                </c:pt>
                <c:pt idx="2">
                  <c:v>0.13261330478384178</c:v>
                </c:pt>
                <c:pt idx="3">
                  <c:v>8.2736764141479804E-2</c:v>
                </c:pt>
              </c:numCache>
            </c:numRef>
          </c:val>
        </c:ser>
        <c:dLbls>
          <c:showLegendKey val="0"/>
          <c:showVal val="0"/>
          <c:showCatName val="0"/>
          <c:showSerName val="0"/>
          <c:showPercent val="0"/>
          <c:showBubbleSize val="0"/>
        </c:dLbls>
        <c:gapWidth val="150"/>
        <c:overlap val="100"/>
        <c:axId val="92775168"/>
        <c:axId val="92776704"/>
      </c:barChart>
      <c:catAx>
        <c:axId val="92775168"/>
        <c:scaling>
          <c:orientation val="minMax"/>
        </c:scaling>
        <c:delete val="0"/>
        <c:axPos val="b"/>
        <c:numFmt formatCode="General" sourceLinked="1"/>
        <c:majorTickMark val="out"/>
        <c:minorTickMark val="none"/>
        <c:tickLblPos val="nextTo"/>
        <c:crossAx val="92776704"/>
        <c:crosses val="autoZero"/>
        <c:auto val="1"/>
        <c:lblAlgn val="ctr"/>
        <c:lblOffset val="100"/>
        <c:noMultiLvlLbl val="0"/>
      </c:catAx>
      <c:valAx>
        <c:axId val="92776704"/>
        <c:scaling>
          <c:orientation val="minMax"/>
        </c:scaling>
        <c:delete val="0"/>
        <c:axPos val="l"/>
        <c:majorGridlines/>
        <c:title>
          <c:tx>
            <c:rich>
              <a:bodyPr rot="-5400000" vert="horz"/>
              <a:lstStyle/>
              <a:p>
                <a:pPr>
                  <a:defRPr/>
                </a:pPr>
                <a:r>
                  <a:rPr lang="en-US"/>
                  <a:t>LCOE Breakdown [$/kWh]</a:t>
                </a:r>
              </a:p>
            </c:rich>
          </c:tx>
          <c:overlay val="0"/>
        </c:title>
        <c:numFmt formatCode="&quot;$&quot;#,##0.00" sourceLinked="1"/>
        <c:majorTickMark val="out"/>
        <c:minorTickMark val="none"/>
        <c:tickLblPos val="nextTo"/>
        <c:crossAx val="927751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'NEW Report Graphs and Tables'!$B$28</c:f>
              <c:strCache>
                <c:ptCount val="1"/>
                <c:pt idx="0">
                  <c:v>Generator</c:v>
                </c:pt>
              </c:strCache>
            </c:strRef>
          </c:tx>
          <c:invertIfNegative val="0"/>
          <c:cat>
            <c:numRef>
              <c:f>'NEW Report Graphs and Tables'!$C$27:$F$27</c:f>
              <c:numCache>
                <c:formatCode>General</c:formatCode>
                <c:ptCount val="4"/>
                <c:pt idx="0">
                  <c:v>1</c:v>
                </c:pt>
                <c:pt idx="1">
                  <c:v>10</c:v>
                </c:pt>
                <c:pt idx="2">
                  <c:v>50</c:v>
                </c:pt>
                <c:pt idx="3">
                  <c:v>100</c:v>
                </c:pt>
              </c:numCache>
            </c:numRef>
          </c:cat>
          <c:val>
            <c:numRef>
              <c:f>'NEW Report Graphs and Tables'!$C$28:$F$28</c:f>
              <c:numCache>
                <c:formatCode>"$"#,##0</c:formatCode>
                <c:ptCount val="4"/>
                <c:pt idx="0">
                  <c:v>91.59542577994894</c:v>
                </c:pt>
                <c:pt idx="1">
                  <c:v>80.813048328630629</c:v>
                </c:pt>
                <c:pt idx="2">
                  <c:v>74.039402451872576</c:v>
                </c:pt>
                <c:pt idx="3">
                  <c:v>71.299944561153268</c:v>
                </c:pt>
              </c:numCache>
            </c:numRef>
          </c:val>
        </c:ser>
        <c:ser>
          <c:idx val="1"/>
          <c:order val="1"/>
          <c:tx>
            <c:strRef>
              <c:f>'NEW Report Graphs and Tables'!$B$29</c:f>
              <c:strCache>
                <c:ptCount val="1"/>
                <c:pt idx="0">
                  <c:v>Hydraulic Components</c:v>
                </c:pt>
              </c:strCache>
            </c:strRef>
          </c:tx>
          <c:invertIfNegative val="0"/>
          <c:cat>
            <c:numRef>
              <c:f>'NEW Report Graphs and Tables'!$C$27:$F$27</c:f>
              <c:numCache>
                <c:formatCode>General</c:formatCode>
                <c:ptCount val="4"/>
                <c:pt idx="0">
                  <c:v>1</c:v>
                </c:pt>
                <c:pt idx="1">
                  <c:v>10</c:v>
                </c:pt>
                <c:pt idx="2">
                  <c:v>50</c:v>
                </c:pt>
                <c:pt idx="3">
                  <c:v>100</c:v>
                </c:pt>
              </c:numCache>
            </c:numRef>
          </c:cat>
          <c:val>
            <c:numRef>
              <c:f>'NEW Report Graphs and Tables'!$C$29:$F$29</c:f>
              <c:numCache>
                <c:formatCode>"$"#,##0</c:formatCode>
                <c:ptCount val="4"/>
                <c:pt idx="0">
                  <c:v>725.98461715919677</c:v>
                </c:pt>
                <c:pt idx="1">
                  <c:v>661.98159543062911</c:v>
                </c:pt>
                <c:pt idx="2">
                  <c:v>620.62625879704058</c:v>
                </c:pt>
                <c:pt idx="3">
                  <c:v>603.62109930600161</c:v>
                </c:pt>
              </c:numCache>
            </c:numRef>
          </c:val>
        </c:ser>
        <c:ser>
          <c:idx val="2"/>
          <c:order val="2"/>
          <c:tx>
            <c:strRef>
              <c:f>'NEW Report Graphs and Tables'!$B$30</c:f>
              <c:strCache>
                <c:ptCount val="1"/>
                <c:pt idx="0">
                  <c:v>Couplings</c:v>
                </c:pt>
              </c:strCache>
            </c:strRef>
          </c:tx>
          <c:invertIfNegative val="0"/>
          <c:cat>
            <c:numRef>
              <c:f>'NEW Report Graphs and Tables'!$C$27:$F$27</c:f>
              <c:numCache>
                <c:formatCode>General</c:formatCode>
                <c:ptCount val="4"/>
                <c:pt idx="0">
                  <c:v>1</c:v>
                </c:pt>
                <c:pt idx="1">
                  <c:v>10</c:v>
                </c:pt>
                <c:pt idx="2">
                  <c:v>50</c:v>
                </c:pt>
                <c:pt idx="3">
                  <c:v>100</c:v>
                </c:pt>
              </c:numCache>
            </c:numRef>
          </c:cat>
          <c:val>
            <c:numRef>
              <c:f>'NEW Report Graphs and Tables'!$C$30:$F$30</c:f>
              <c:numCache>
                <c:formatCode>"$"#,##0</c:formatCode>
                <c:ptCount val="4"/>
                <c:pt idx="0">
                  <c:v>0.91595425779948936</c:v>
                </c:pt>
                <c:pt idx="1">
                  <c:v>0.77245502794264165</c:v>
                </c:pt>
                <c:pt idx="2">
                  <c:v>0.6857234754878675</c:v>
                </c:pt>
                <c:pt idx="3">
                  <c:v>0.65143730171347403</c:v>
                </c:pt>
              </c:numCache>
            </c:numRef>
          </c:val>
        </c:ser>
        <c:ser>
          <c:idx val="3"/>
          <c:order val="3"/>
          <c:tx>
            <c:strRef>
              <c:f>'NEW Report Graphs and Tables'!$B$31</c:f>
              <c:strCache>
                <c:ptCount val="1"/>
                <c:pt idx="0">
                  <c:v>Frequency Converter</c:v>
                </c:pt>
              </c:strCache>
            </c:strRef>
          </c:tx>
          <c:invertIfNegative val="0"/>
          <c:cat>
            <c:numRef>
              <c:f>'NEW Report Graphs and Tables'!$C$27:$F$27</c:f>
              <c:numCache>
                <c:formatCode>General</c:formatCode>
                <c:ptCount val="4"/>
                <c:pt idx="0">
                  <c:v>1</c:v>
                </c:pt>
                <c:pt idx="1">
                  <c:v>10</c:v>
                </c:pt>
                <c:pt idx="2">
                  <c:v>50</c:v>
                </c:pt>
                <c:pt idx="3">
                  <c:v>100</c:v>
                </c:pt>
              </c:numCache>
            </c:numRef>
          </c:cat>
          <c:val>
            <c:numRef>
              <c:f>'NEW Report Graphs and Tables'!$C$31:$F$31</c:f>
              <c:numCache>
                <c:formatCode>"$"#,##0</c:formatCode>
                <c:ptCount val="4"/>
                <c:pt idx="0">
                  <c:v>203.38903075385812</c:v>
                </c:pt>
                <c:pt idx="1">
                  <c:v>96.916881598564942</c:v>
                </c:pt>
                <c:pt idx="2">
                  <c:v>57.727313906603619</c:v>
                </c:pt>
                <c:pt idx="3">
                  <c:v>46.181851125282883</c:v>
                </c:pt>
              </c:numCache>
            </c:numRef>
          </c:val>
        </c:ser>
        <c:ser>
          <c:idx val="4"/>
          <c:order val="4"/>
          <c:tx>
            <c:strRef>
              <c:f>'NEW Report Graphs and Tables'!$B$32</c:f>
              <c:strCache>
                <c:ptCount val="1"/>
                <c:pt idx="0">
                  <c:v>Step up Transformer</c:v>
                </c:pt>
              </c:strCache>
            </c:strRef>
          </c:tx>
          <c:invertIfNegative val="0"/>
          <c:cat>
            <c:numRef>
              <c:f>'NEW Report Graphs and Tables'!$C$27:$F$27</c:f>
              <c:numCache>
                <c:formatCode>General</c:formatCode>
                <c:ptCount val="4"/>
                <c:pt idx="0">
                  <c:v>1</c:v>
                </c:pt>
                <c:pt idx="1">
                  <c:v>10</c:v>
                </c:pt>
                <c:pt idx="2">
                  <c:v>50</c:v>
                </c:pt>
                <c:pt idx="3">
                  <c:v>100</c:v>
                </c:pt>
              </c:numCache>
            </c:numRef>
          </c:cat>
          <c:val>
            <c:numRef>
              <c:f>'NEW Report Graphs and Tables'!$C$32:$F$32</c:f>
              <c:numCache>
                <c:formatCode>"$"#,##0</c:formatCode>
                <c:ptCount val="4"/>
                <c:pt idx="0">
                  <c:v>47.185522371488844</c:v>
                </c:pt>
                <c:pt idx="1">
                  <c:v>41.201694561231456</c:v>
                </c:pt>
                <c:pt idx="2">
                  <c:v>37.475734730137539</c:v>
                </c:pt>
                <c:pt idx="3">
                  <c:v>35.976705340932021</c:v>
                </c:pt>
              </c:numCache>
            </c:numRef>
          </c:val>
        </c:ser>
        <c:ser>
          <c:idx val="5"/>
          <c:order val="5"/>
          <c:tx>
            <c:strRef>
              <c:f>'NEW Report Graphs and Tables'!$B$33</c:f>
              <c:strCache>
                <c:ptCount val="1"/>
                <c:pt idx="0">
                  <c:v>Control System</c:v>
                </c:pt>
              </c:strCache>
            </c:strRef>
          </c:tx>
          <c:invertIfNegative val="0"/>
          <c:cat>
            <c:numRef>
              <c:f>'NEW Report Graphs and Tables'!$C$27:$F$27</c:f>
              <c:numCache>
                <c:formatCode>General</c:formatCode>
                <c:ptCount val="4"/>
                <c:pt idx="0">
                  <c:v>1</c:v>
                </c:pt>
                <c:pt idx="1">
                  <c:v>10</c:v>
                </c:pt>
                <c:pt idx="2">
                  <c:v>50</c:v>
                </c:pt>
                <c:pt idx="3">
                  <c:v>100</c:v>
                </c:pt>
              </c:numCache>
            </c:numRef>
          </c:cat>
          <c:val>
            <c:numRef>
              <c:f>'NEW Report Graphs and Tables'!$C$33:$F$33</c:f>
              <c:numCache>
                <c:formatCode>"$"#,##0</c:formatCode>
                <c:ptCount val="4"/>
                <c:pt idx="0">
                  <c:v>13.878094815143777</c:v>
                </c:pt>
                <c:pt idx="1">
                  <c:v>12.97727490397801</c:v>
                </c:pt>
                <c:pt idx="2">
                  <c:v>12.3825783105983</c:v>
                </c:pt>
                <c:pt idx="3">
                  <c:v>12.134926744386332</c:v>
                </c:pt>
              </c:numCache>
            </c:numRef>
          </c:val>
        </c:ser>
        <c:ser>
          <c:idx val="6"/>
          <c:order val="6"/>
          <c:tx>
            <c:strRef>
              <c:f>'NEW Report Graphs and Tables'!$B$34</c:f>
              <c:strCache>
                <c:ptCount val="1"/>
                <c:pt idx="0">
                  <c:v>Bearings</c:v>
                </c:pt>
              </c:strCache>
            </c:strRef>
          </c:tx>
          <c:invertIfNegative val="0"/>
          <c:cat>
            <c:numRef>
              <c:f>'NEW Report Graphs and Tables'!$C$27:$F$27</c:f>
              <c:numCache>
                <c:formatCode>General</c:formatCode>
                <c:ptCount val="4"/>
                <c:pt idx="0">
                  <c:v>1</c:v>
                </c:pt>
                <c:pt idx="1">
                  <c:v>10</c:v>
                </c:pt>
                <c:pt idx="2">
                  <c:v>50</c:v>
                </c:pt>
                <c:pt idx="3">
                  <c:v>100</c:v>
                </c:pt>
              </c:numCache>
            </c:numRef>
          </c:cat>
          <c:val>
            <c:numRef>
              <c:f>'NEW Report Graphs and Tables'!$C$34:$F$34</c:f>
              <c:numCache>
                <c:formatCode>"$"#,##0</c:formatCode>
                <c:ptCount val="4"/>
                <c:pt idx="0">
                  <c:v>41.634284445431334</c:v>
                </c:pt>
                <c:pt idx="1">
                  <c:v>36.354436377557171</c:v>
                </c:pt>
                <c:pt idx="2">
                  <c:v>33.06682476188606</c:v>
                </c:pt>
                <c:pt idx="3">
                  <c:v>31.744151771410607</c:v>
                </c:pt>
              </c:numCache>
            </c:numRef>
          </c:val>
        </c:ser>
        <c:ser>
          <c:idx val="7"/>
          <c:order val="7"/>
          <c:tx>
            <c:strRef>
              <c:f>'NEW Report Graphs and Tables'!$B$35</c:f>
              <c:strCache>
                <c:ptCount val="1"/>
                <c:pt idx="0">
                  <c:v>Assembly, Testing, &amp; QA</c:v>
                </c:pt>
              </c:strCache>
            </c:strRef>
          </c:tx>
          <c:invertIfNegative val="0"/>
          <c:cat>
            <c:numRef>
              <c:f>'NEW Report Graphs and Tables'!$C$27:$F$27</c:f>
              <c:numCache>
                <c:formatCode>General</c:formatCode>
                <c:ptCount val="4"/>
                <c:pt idx="0">
                  <c:v>1</c:v>
                </c:pt>
                <c:pt idx="1">
                  <c:v>10</c:v>
                </c:pt>
                <c:pt idx="2">
                  <c:v>50</c:v>
                </c:pt>
                <c:pt idx="3">
                  <c:v>100</c:v>
                </c:pt>
              </c:numCache>
            </c:numRef>
          </c:cat>
          <c:val>
            <c:numRef>
              <c:f>'NEW Report Graphs and Tables'!$C$35:$F$35</c:f>
              <c:numCache>
                <c:formatCode>"$"#,##0</c:formatCode>
                <c:ptCount val="4"/>
                <c:pt idx="0">
                  <c:v>197.0107166065865</c:v>
                </c:pt>
                <c:pt idx="1">
                  <c:v>172.02682015487426</c:v>
                </c:pt>
                <c:pt idx="2">
                  <c:v>156.47005656556806</c:v>
                </c:pt>
                <c:pt idx="3">
                  <c:v>150.21125430294529</c:v>
                </c:pt>
              </c:numCache>
            </c:numRef>
          </c:val>
        </c:ser>
        <c:ser>
          <c:idx val="8"/>
          <c:order val="8"/>
          <c:tx>
            <c:strRef>
              <c:f>'NEW Report Graphs and Tables'!$B$36</c:f>
              <c:strCache>
                <c:ptCount val="1"/>
                <c:pt idx="0">
                  <c:v>PTO Mount</c:v>
                </c:pt>
              </c:strCache>
            </c:strRef>
          </c:tx>
          <c:invertIfNegative val="0"/>
          <c:cat>
            <c:numRef>
              <c:f>'NEW Report Graphs and Tables'!$C$27:$F$27</c:f>
              <c:numCache>
                <c:formatCode>General</c:formatCode>
                <c:ptCount val="4"/>
                <c:pt idx="0">
                  <c:v>1</c:v>
                </c:pt>
                <c:pt idx="1">
                  <c:v>10</c:v>
                </c:pt>
                <c:pt idx="2">
                  <c:v>50</c:v>
                </c:pt>
                <c:pt idx="3">
                  <c:v>100</c:v>
                </c:pt>
              </c:numCache>
            </c:numRef>
          </c:cat>
          <c:val>
            <c:numRef>
              <c:f>'NEW Report Graphs and Tables'!$C$36:$F$36</c:f>
              <c:numCache>
                <c:formatCode>"$"#,##0</c:formatCode>
                <c:ptCount val="4"/>
                <c:pt idx="0">
                  <c:v>262.29599200621743</c:v>
                </c:pt>
                <c:pt idx="1">
                  <c:v>184.83685100176726</c:v>
                </c:pt>
                <c:pt idx="2">
                  <c:v>144.7248000115994</c:v>
                </c:pt>
                <c:pt idx="3">
                  <c:v>130.25232001043943</c:v>
                </c:pt>
              </c:numCache>
            </c:numRef>
          </c:val>
        </c:ser>
        <c:ser>
          <c:idx val="9"/>
          <c:order val="9"/>
          <c:tx>
            <c:strRef>
              <c:f>'NEW Report Graphs and Tables'!$B$37</c:f>
              <c:strCache>
                <c:ptCount val="1"/>
                <c:pt idx="0">
                  <c:v>Other</c:v>
                </c:pt>
              </c:strCache>
            </c:strRef>
          </c:tx>
          <c:invertIfNegative val="0"/>
          <c:cat>
            <c:numRef>
              <c:f>'NEW Report Graphs and Tables'!$C$27:$F$27</c:f>
              <c:numCache>
                <c:formatCode>General</c:formatCode>
                <c:ptCount val="4"/>
                <c:pt idx="0">
                  <c:v>1</c:v>
                </c:pt>
                <c:pt idx="1">
                  <c:v>10</c:v>
                </c:pt>
                <c:pt idx="2">
                  <c:v>50</c:v>
                </c:pt>
                <c:pt idx="3">
                  <c:v>100</c:v>
                </c:pt>
              </c:numCache>
            </c:numRef>
          </c:cat>
          <c:val>
            <c:numRef>
              <c:f>'NEW Report Graphs and Tables'!$C$37:$F$37</c:f>
              <c:numCache>
                <c:formatCode>"$"#,##0</c:formatCode>
                <c:ptCount val="4"/>
                <c:pt idx="0">
                  <c:v>48.573331853003225</c:v>
                </c:pt>
                <c:pt idx="1">
                  <c:v>23.145672284275921</c:v>
                </c:pt>
                <c:pt idx="2">
                  <c:v>13.786426755538072</c:v>
                </c:pt>
                <c:pt idx="3">
                  <c:v>11.029141404430455</c:v>
                </c:pt>
              </c:numCache>
            </c:numRef>
          </c:val>
        </c:ser>
        <c:dLbls>
          <c:showLegendKey val="0"/>
          <c:showVal val="0"/>
          <c:showCatName val="0"/>
          <c:showSerName val="0"/>
          <c:showPercent val="0"/>
          <c:showBubbleSize val="0"/>
        </c:dLbls>
        <c:gapWidth val="150"/>
        <c:overlap val="100"/>
        <c:axId val="92907008"/>
        <c:axId val="92908928"/>
      </c:barChart>
      <c:catAx>
        <c:axId val="92907008"/>
        <c:scaling>
          <c:orientation val="minMax"/>
        </c:scaling>
        <c:delete val="0"/>
        <c:axPos val="b"/>
        <c:title>
          <c:tx>
            <c:rich>
              <a:bodyPr/>
              <a:lstStyle/>
              <a:p>
                <a:pPr>
                  <a:defRPr/>
                </a:pPr>
                <a:r>
                  <a:rPr lang="en-US"/>
                  <a:t>Array Scale [# of Units]</a:t>
                </a:r>
              </a:p>
            </c:rich>
          </c:tx>
          <c:layout>
            <c:manualLayout>
              <c:xMode val="edge"/>
              <c:yMode val="edge"/>
              <c:x val="0.34644270709500569"/>
              <c:y val="0.91651123509957944"/>
            </c:manualLayout>
          </c:layout>
          <c:overlay val="0"/>
        </c:title>
        <c:numFmt formatCode="General" sourceLinked="1"/>
        <c:majorTickMark val="out"/>
        <c:minorTickMark val="none"/>
        <c:tickLblPos val="nextTo"/>
        <c:crossAx val="92908928"/>
        <c:crosses val="autoZero"/>
        <c:auto val="1"/>
        <c:lblAlgn val="ctr"/>
        <c:lblOffset val="100"/>
        <c:noMultiLvlLbl val="0"/>
      </c:catAx>
      <c:valAx>
        <c:axId val="92908928"/>
        <c:scaling>
          <c:orientation val="minMax"/>
        </c:scaling>
        <c:delete val="0"/>
        <c:axPos val="l"/>
        <c:majorGridlines/>
        <c:title>
          <c:tx>
            <c:rich>
              <a:bodyPr rot="-5400000" vert="horz"/>
              <a:lstStyle/>
              <a:p>
                <a:pPr>
                  <a:defRPr/>
                </a:pPr>
                <a:r>
                  <a:rPr lang="en-US"/>
                  <a:t>PCC Component Cost Breakdown [$/kW]</a:t>
                </a:r>
              </a:p>
            </c:rich>
          </c:tx>
          <c:overlay val="0"/>
        </c:title>
        <c:numFmt formatCode="&quot;$&quot;#,##0" sourceLinked="1"/>
        <c:majorTickMark val="out"/>
        <c:minorTickMark val="none"/>
        <c:tickLblPos val="nextTo"/>
        <c:crossAx val="929070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048443166549772"/>
          <c:y val="2.8252405949256341E-2"/>
          <c:w val="0.59810104495730587"/>
          <c:h val="0.8326195683872849"/>
        </c:manualLayout>
      </c:layout>
      <c:barChart>
        <c:barDir val="col"/>
        <c:grouping val="stacked"/>
        <c:varyColors val="0"/>
        <c:ser>
          <c:idx val="0"/>
          <c:order val="0"/>
          <c:tx>
            <c:strRef>
              <c:f>'NEW Report Graphs and Tables'!$B$93</c:f>
              <c:strCache>
                <c:ptCount val="1"/>
                <c:pt idx="0">
                  <c:v>Mooring lines/chain</c:v>
                </c:pt>
              </c:strCache>
            </c:strRef>
          </c:tx>
          <c:invertIfNegative val="0"/>
          <c:cat>
            <c:numRef>
              <c:f>'NEW Report Graphs and Tables'!$C$92:$F$92</c:f>
              <c:numCache>
                <c:formatCode>General</c:formatCode>
                <c:ptCount val="4"/>
                <c:pt idx="0">
                  <c:v>1</c:v>
                </c:pt>
                <c:pt idx="1">
                  <c:v>10</c:v>
                </c:pt>
                <c:pt idx="2">
                  <c:v>50</c:v>
                </c:pt>
                <c:pt idx="3">
                  <c:v>100</c:v>
                </c:pt>
              </c:numCache>
            </c:numRef>
          </c:cat>
          <c:val>
            <c:numRef>
              <c:f>'NEW Report Graphs and Tables'!$C$93:$F$93</c:f>
              <c:numCache>
                <c:formatCode>"$"#,##0</c:formatCode>
                <c:ptCount val="4"/>
                <c:pt idx="0">
                  <c:v>973.93310061343493</c:v>
                </c:pt>
                <c:pt idx="1">
                  <c:v>876.53979055209152</c:v>
                </c:pt>
                <c:pt idx="2">
                  <c:v>876.53979055209152</c:v>
                </c:pt>
                <c:pt idx="3">
                  <c:v>876.53979055209152</c:v>
                </c:pt>
              </c:numCache>
            </c:numRef>
          </c:val>
        </c:ser>
        <c:ser>
          <c:idx val="1"/>
          <c:order val="1"/>
          <c:tx>
            <c:strRef>
              <c:f>'NEW Report Graphs and Tables'!$B$94</c:f>
              <c:strCache>
                <c:ptCount val="1"/>
                <c:pt idx="0">
                  <c:v>Anchors</c:v>
                </c:pt>
              </c:strCache>
            </c:strRef>
          </c:tx>
          <c:invertIfNegative val="0"/>
          <c:cat>
            <c:numRef>
              <c:f>'NEW Report Graphs and Tables'!$C$92:$F$92</c:f>
              <c:numCache>
                <c:formatCode>General</c:formatCode>
                <c:ptCount val="4"/>
                <c:pt idx="0">
                  <c:v>1</c:v>
                </c:pt>
                <c:pt idx="1">
                  <c:v>10</c:v>
                </c:pt>
                <c:pt idx="2">
                  <c:v>50</c:v>
                </c:pt>
                <c:pt idx="3">
                  <c:v>100</c:v>
                </c:pt>
              </c:numCache>
            </c:numRef>
          </c:cat>
          <c:val>
            <c:numRef>
              <c:f>'NEW Report Graphs and Tables'!$C$94:$F$94</c:f>
              <c:numCache>
                <c:formatCode>"$"#,##0</c:formatCode>
                <c:ptCount val="4"/>
                <c:pt idx="0">
                  <c:v>2083.7382694762973</c:v>
                </c:pt>
                <c:pt idx="1">
                  <c:v>1030.1739634251298</c:v>
                </c:pt>
                <c:pt idx="2">
                  <c:v>804.97544748036091</c:v>
                </c:pt>
                <c:pt idx="3">
                  <c:v>737.2757691824529</c:v>
                </c:pt>
              </c:numCache>
            </c:numRef>
          </c:val>
        </c:ser>
        <c:ser>
          <c:idx val="2"/>
          <c:order val="2"/>
          <c:tx>
            <c:strRef>
              <c:f>'NEW Report Graphs and Tables'!$B$95</c:f>
              <c:strCache>
                <c:ptCount val="1"/>
                <c:pt idx="0">
                  <c:v>Buoyancy</c:v>
                </c:pt>
              </c:strCache>
            </c:strRef>
          </c:tx>
          <c:invertIfNegative val="0"/>
          <c:cat>
            <c:numRef>
              <c:f>'NEW Report Graphs and Tables'!$C$92:$F$92</c:f>
              <c:numCache>
                <c:formatCode>General</c:formatCode>
                <c:ptCount val="4"/>
                <c:pt idx="0">
                  <c:v>1</c:v>
                </c:pt>
                <c:pt idx="1">
                  <c:v>10</c:v>
                </c:pt>
                <c:pt idx="2">
                  <c:v>50</c:v>
                </c:pt>
                <c:pt idx="3">
                  <c:v>100</c:v>
                </c:pt>
              </c:numCache>
            </c:numRef>
          </c:cat>
          <c:val>
            <c:numRef>
              <c:f>'NEW Report Graphs and Tables'!$C$95:$F$95</c:f>
              <c:numCache>
                <c:formatCode>"$"#,##0</c:formatCode>
                <c:ptCount val="4"/>
                <c:pt idx="0">
                  <c:v>166.53713778172533</c:v>
                </c:pt>
                <c:pt idx="1">
                  <c:v>149.88342400355279</c:v>
                </c:pt>
                <c:pt idx="2">
                  <c:v>149.88342400355279</c:v>
                </c:pt>
                <c:pt idx="3">
                  <c:v>149.88342400355279</c:v>
                </c:pt>
              </c:numCache>
            </c:numRef>
          </c:val>
        </c:ser>
        <c:ser>
          <c:idx val="3"/>
          <c:order val="3"/>
          <c:tx>
            <c:strRef>
              <c:f>'NEW Report Graphs and Tables'!$B$96</c:f>
              <c:strCache>
                <c:ptCount val="1"/>
                <c:pt idx="0">
                  <c:v>Connecting Hardware (shackles etc.)</c:v>
                </c:pt>
              </c:strCache>
            </c:strRef>
          </c:tx>
          <c:invertIfNegative val="0"/>
          <c:cat>
            <c:numRef>
              <c:f>'NEW Report Graphs and Tables'!$C$92:$F$92</c:f>
              <c:numCache>
                <c:formatCode>General</c:formatCode>
                <c:ptCount val="4"/>
                <c:pt idx="0">
                  <c:v>1</c:v>
                </c:pt>
                <c:pt idx="1">
                  <c:v>10</c:v>
                </c:pt>
                <c:pt idx="2">
                  <c:v>50</c:v>
                </c:pt>
                <c:pt idx="3">
                  <c:v>100</c:v>
                </c:pt>
              </c:numCache>
            </c:numRef>
          </c:cat>
          <c:val>
            <c:numRef>
              <c:f>'NEW Report Graphs and Tables'!$C$96:$F$96</c:f>
              <c:numCache>
                <c:formatCode>"$"#,##0</c:formatCode>
                <c:ptCount val="4"/>
                <c:pt idx="0">
                  <c:v>283.94581991784167</c:v>
                </c:pt>
                <c:pt idx="1">
                  <c:v>255.55123792605752</c:v>
                </c:pt>
                <c:pt idx="2">
                  <c:v>255.55123792605752</c:v>
                </c:pt>
                <c:pt idx="3">
                  <c:v>255.55123792605752</c:v>
                </c:pt>
              </c:numCache>
            </c:numRef>
          </c:val>
        </c:ser>
        <c:dLbls>
          <c:showLegendKey val="0"/>
          <c:showVal val="0"/>
          <c:showCatName val="0"/>
          <c:showSerName val="0"/>
          <c:showPercent val="0"/>
          <c:showBubbleSize val="0"/>
        </c:dLbls>
        <c:gapWidth val="150"/>
        <c:overlap val="100"/>
        <c:axId val="92813184"/>
        <c:axId val="92814720"/>
      </c:barChart>
      <c:catAx>
        <c:axId val="92813184"/>
        <c:scaling>
          <c:orientation val="minMax"/>
        </c:scaling>
        <c:delete val="0"/>
        <c:axPos val="b"/>
        <c:numFmt formatCode="General" sourceLinked="1"/>
        <c:majorTickMark val="out"/>
        <c:minorTickMark val="none"/>
        <c:tickLblPos val="nextTo"/>
        <c:crossAx val="92814720"/>
        <c:crosses val="autoZero"/>
        <c:auto val="1"/>
        <c:lblAlgn val="ctr"/>
        <c:lblOffset val="100"/>
        <c:noMultiLvlLbl val="0"/>
      </c:catAx>
      <c:valAx>
        <c:axId val="92814720"/>
        <c:scaling>
          <c:orientation val="minMax"/>
        </c:scaling>
        <c:delete val="0"/>
        <c:axPos val="l"/>
        <c:majorGridlines/>
        <c:numFmt formatCode="&quot;$&quot;#,##0" sourceLinked="1"/>
        <c:majorTickMark val="out"/>
        <c:minorTickMark val="none"/>
        <c:tickLblPos val="nextTo"/>
        <c:crossAx val="928131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'NEW Report Graphs and Tables'!$B$146</c:f>
              <c:strCache>
                <c:ptCount val="1"/>
                <c:pt idx="0">
                  <c:v>Transport to Staging Site</c:v>
                </c:pt>
              </c:strCache>
            </c:strRef>
          </c:tx>
          <c:invertIfNegative val="0"/>
          <c:cat>
            <c:numRef>
              <c:f>'NEW Report Graphs and Tables'!$C$145:$F$145</c:f>
              <c:numCache>
                <c:formatCode>General</c:formatCode>
                <c:ptCount val="4"/>
                <c:pt idx="0">
                  <c:v>1</c:v>
                </c:pt>
                <c:pt idx="1">
                  <c:v>10</c:v>
                </c:pt>
                <c:pt idx="2">
                  <c:v>50</c:v>
                </c:pt>
                <c:pt idx="3">
                  <c:v>100</c:v>
                </c:pt>
              </c:numCache>
            </c:numRef>
          </c:cat>
          <c:val>
            <c:numRef>
              <c:f>'NEW Report Graphs and Tables'!$C$146:$F$146</c:f>
              <c:numCache>
                <c:formatCode>"$"#,##0</c:formatCode>
                <c:ptCount val="4"/>
                <c:pt idx="0">
                  <c:v>82.574664150105477</c:v>
                </c:pt>
                <c:pt idx="1">
                  <c:v>82.574664150105477</c:v>
                </c:pt>
                <c:pt idx="2">
                  <c:v>82.574664150105477</c:v>
                </c:pt>
                <c:pt idx="3">
                  <c:v>82.574664150105477</c:v>
                </c:pt>
              </c:numCache>
            </c:numRef>
          </c:val>
        </c:ser>
        <c:ser>
          <c:idx val="1"/>
          <c:order val="1"/>
          <c:tx>
            <c:strRef>
              <c:f>'NEW Report Graphs and Tables'!$B$147</c:f>
              <c:strCache>
                <c:ptCount val="1"/>
                <c:pt idx="0">
                  <c:v>Cable Shore Landing</c:v>
                </c:pt>
              </c:strCache>
            </c:strRef>
          </c:tx>
          <c:invertIfNegative val="0"/>
          <c:cat>
            <c:numRef>
              <c:f>'NEW Report Graphs and Tables'!$C$145:$F$145</c:f>
              <c:numCache>
                <c:formatCode>General</c:formatCode>
                <c:ptCount val="4"/>
                <c:pt idx="0">
                  <c:v>1</c:v>
                </c:pt>
                <c:pt idx="1">
                  <c:v>10</c:v>
                </c:pt>
                <c:pt idx="2">
                  <c:v>50</c:v>
                </c:pt>
                <c:pt idx="3">
                  <c:v>100</c:v>
                </c:pt>
              </c:numCache>
            </c:numRef>
          </c:cat>
          <c:val>
            <c:numRef>
              <c:f>'NEW Report Graphs and Tables'!$C$147:$F$147</c:f>
              <c:numCache>
                <c:formatCode>"$"#,##0</c:formatCode>
                <c:ptCount val="4"/>
                <c:pt idx="0">
                  <c:v>1851.33784834018</c:v>
                </c:pt>
                <c:pt idx="1">
                  <c:v>212.94548684356613</c:v>
                </c:pt>
                <c:pt idx="2">
                  <c:v>42.589097368713226</c:v>
                </c:pt>
                <c:pt idx="3">
                  <c:v>42.577994892861106</c:v>
                </c:pt>
              </c:numCache>
            </c:numRef>
          </c:val>
        </c:ser>
        <c:ser>
          <c:idx val="2"/>
          <c:order val="2"/>
          <c:tx>
            <c:strRef>
              <c:f>'NEW Report Graphs and Tables'!$B$148</c:f>
              <c:strCache>
                <c:ptCount val="1"/>
                <c:pt idx="0">
                  <c:v>Mooring/Foundation System</c:v>
                </c:pt>
              </c:strCache>
            </c:strRef>
          </c:tx>
          <c:invertIfNegative val="0"/>
          <c:cat>
            <c:numRef>
              <c:f>'NEW Report Graphs and Tables'!$C$145:$F$145</c:f>
              <c:numCache>
                <c:formatCode>General</c:formatCode>
                <c:ptCount val="4"/>
                <c:pt idx="0">
                  <c:v>1</c:v>
                </c:pt>
                <c:pt idx="1">
                  <c:v>10</c:v>
                </c:pt>
                <c:pt idx="2">
                  <c:v>50</c:v>
                </c:pt>
                <c:pt idx="3">
                  <c:v>100</c:v>
                </c:pt>
              </c:numCache>
            </c:numRef>
          </c:cat>
          <c:val>
            <c:numRef>
              <c:f>'NEW Report Graphs and Tables'!$C$148:$F$148</c:f>
              <c:numCache>
                <c:formatCode>"$"#,##0</c:formatCode>
                <c:ptCount val="4"/>
                <c:pt idx="0">
                  <c:v>8864.8649661374493</c:v>
                </c:pt>
                <c:pt idx="1">
                  <c:v>1083.7566769056166</c:v>
                </c:pt>
                <c:pt idx="2">
                  <c:v>392.13726977782716</c:v>
                </c:pt>
                <c:pt idx="3">
                  <c:v>305.68484388685346</c:v>
                </c:pt>
              </c:numCache>
            </c:numRef>
          </c:val>
        </c:ser>
        <c:ser>
          <c:idx val="3"/>
          <c:order val="3"/>
          <c:tx>
            <c:strRef>
              <c:f>'NEW Report Graphs and Tables'!$B$149</c:f>
              <c:strCache>
                <c:ptCount val="1"/>
                <c:pt idx="0">
                  <c:v>Cable Installation</c:v>
                </c:pt>
              </c:strCache>
            </c:strRef>
          </c:tx>
          <c:invertIfNegative val="0"/>
          <c:cat>
            <c:numRef>
              <c:f>'NEW Report Graphs and Tables'!$C$145:$F$145</c:f>
              <c:numCache>
                <c:formatCode>General</c:formatCode>
                <c:ptCount val="4"/>
                <c:pt idx="0">
                  <c:v>1</c:v>
                </c:pt>
                <c:pt idx="1">
                  <c:v>10</c:v>
                </c:pt>
                <c:pt idx="2">
                  <c:v>50</c:v>
                </c:pt>
                <c:pt idx="3">
                  <c:v>100</c:v>
                </c:pt>
              </c:numCache>
            </c:numRef>
          </c:cat>
          <c:val>
            <c:numRef>
              <c:f>'NEW Report Graphs and Tables'!$C$149:$F$149</c:f>
              <c:numCache>
                <c:formatCode>"$"#,##0</c:formatCode>
                <c:ptCount val="4"/>
                <c:pt idx="0">
                  <c:v>4184.3393471744203</c:v>
                </c:pt>
                <c:pt idx="1">
                  <c:v>632.88681025868777</c:v>
                </c:pt>
                <c:pt idx="2">
                  <c:v>250.01746419451536</c:v>
                </c:pt>
                <c:pt idx="3">
                  <c:v>202.15879593649382</c:v>
                </c:pt>
              </c:numCache>
            </c:numRef>
          </c:val>
        </c:ser>
        <c:ser>
          <c:idx val="4"/>
          <c:order val="4"/>
          <c:tx>
            <c:strRef>
              <c:f>'NEW Report Graphs and Tables'!$B$150</c:f>
              <c:strCache>
                <c:ptCount val="1"/>
                <c:pt idx="0">
                  <c:v>Device Installation</c:v>
                </c:pt>
              </c:strCache>
            </c:strRef>
          </c:tx>
          <c:invertIfNegative val="0"/>
          <c:cat>
            <c:numRef>
              <c:f>'NEW Report Graphs and Tables'!$C$145:$F$145</c:f>
              <c:numCache>
                <c:formatCode>General</c:formatCode>
                <c:ptCount val="4"/>
                <c:pt idx="0">
                  <c:v>1</c:v>
                </c:pt>
                <c:pt idx="1">
                  <c:v>10</c:v>
                </c:pt>
                <c:pt idx="2">
                  <c:v>50</c:v>
                </c:pt>
                <c:pt idx="3">
                  <c:v>100</c:v>
                </c:pt>
              </c:numCache>
            </c:numRef>
          </c:cat>
          <c:val>
            <c:numRef>
              <c:f>'NEW Report Graphs and Tables'!$C$150:$F$150</c:f>
              <c:numCache>
                <c:formatCode>"$"#,##0</c:formatCode>
                <c:ptCount val="4"/>
                <c:pt idx="0">
                  <c:v>708.34489841234597</c:v>
                </c:pt>
                <c:pt idx="1">
                  <c:v>254.32302653491732</c:v>
                </c:pt>
                <c:pt idx="2">
                  <c:v>213.96552681247917</c:v>
                </c:pt>
                <c:pt idx="3">
                  <c:v>208.92083934717442</c:v>
                </c:pt>
              </c:numCache>
            </c:numRef>
          </c:val>
        </c:ser>
        <c:ser>
          <c:idx val="5"/>
          <c:order val="5"/>
          <c:tx>
            <c:strRef>
              <c:f>'NEW Report Graphs and Tables'!$B$151</c:f>
              <c:strCache>
                <c:ptCount val="1"/>
                <c:pt idx="0">
                  <c:v>Device Commissioning</c:v>
                </c:pt>
              </c:strCache>
            </c:strRef>
          </c:tx>
          <c:invertIfNegative val="0"/>
          <c:cat>
            <c:numRef>
              <c:f>'NEW Report Graphs and Tables'!$C$145:$F$145</c:f>
              <c:numCache>
                <c:formatCode>General</c:formatCode>
                <c:ptCount val="4"/>
                <c:pt idx="0">
                  <c:v>1</c:v>
                </c:pt>
                <c:pt idx="1">
                  <c:v>10</c:v>
                </c:pt>
                <c:pt idx="2">
                  <c:v>50</c:v>
                </c:pt>
                <c:pt idx="3">
                  <c:v>100</c:v>
                </c:pt>
              </c:numCache>
            </c:numRef>
          </c:cat>
          <c:val>
            <c:numRef>
              <c:f>'NEW Report Graphs and Tables'!$C$151:$F$151</c:f>
              <c:numCache>
                <c:formatCode>"$"#,##0</c:formatCode>
                <c:ptCount val="4"/>
                <c:pt idx="0">
                  <c:v>708.34489841234597</c:v>
                </c:pt>
                <c:pt idx="1">
                  <c:v>254.32302653491732</c:v>
                </c:pt>
                <c:pt idx="2">
                  <c:v>213.96552681247917</c:v>
                </c:pt>
                <c:pt idx="3">
                  <c:v>208.92083934717442</c:v>
                </c:pt>
              </c:numCache>
            </c:numRef>
          </c:val>
        </c:ser>
        <c:dLbls>
          <c:showLegendKey val="0"/>
          <c:showVal val="0"/>
          <c:showCatName val="0"/>
          <c:showSerName val="0"/>
          <c:showPercent val="0"/>
          <c:showBubbleSize val="0"/>
        </c:dLbls>
        <c:gapWidth val="150"/>
        <c:overlap val="100"/>
        <c:axId val="92851200"/>
        <c:axId val="92857472"/>
      </c:barChart>
      <c:catAx>
        <c:axId val="92851200"/>
        <c:scaling>
          <c:orientation val="minMax"/>
        </c:scaling>
        <c:delete val="0"/>
        <c:axPos val="b"/>
        <c:title>
          <c:tx>
            <c:rich>
              <a:bodyPr/>
              <a:lstStyle/>
              <a:p>
                <a:pPr>
                  <a:defRPr/>
                </a:pPr>
                <a:r>
                  <a:rPr lang="en-US"/>
                  <a:t>Array Scale [# of Units]</a:t>
                </a:r>
              </a:p>
            </c:rich>
          </c:tx>
          <c:overlay val="0"/>
        </c:title>
        <c:numFmt formatCode="General" sourceLinked="1"/>
        <c:majorTickMark val="out"/>
        <c:minorTickMark val="none"/>
        <c:tickLblPos val="nextTo"/>
        <c:crossAx val="92857472"/>
        <c:crosses val="autoZero"/>
        <c:auto val="1"/>
        <c:lblAlgn val="ctr"/>
        <c:lblOffset val="100"/>
        <c:noMultiLvlLbl val="0"/>
      </c:catAx>
      <c:valAx>
        <c:axId val="92857472"/>
        <c:scaling>
          <c:orientation val="minMax"/>
        </c:scaling>
        <c:delete val="0"/>
        <c:axPos val="l"/>
        <c:majorGridlines/>
        <c:title>
          <c:tx>
            <c:rich>
              <a:bodyPr rot="-5400000" vert="horz"/>
              <a:lstStyle/>
              <a:p>
                <a:pPr>
                  <a:defRPr/>
                </a:pPr>
                <a:r>
                  <a:rPr lang="en-US"/>
                  <a:t>$/kW</a:t>
                </a:r>
              </a:p>
            </c:rich>
          </c:tx>
          <c:overlay val="0"/>
        </c:title>
        <c:numFmt formatCode="&quot;$&quot;#,##0" sourceLinked="1"/>
        <c:majorTickMark val="out"/>
        <c:minorTickMark val="none"/>
        <c:tickLblPos val="nextTo"/>
        <c:crossAx val="928512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'NEW Report Graphs and Tables'!$B$178</c:f>
              <c:strCache>
                <c:ptCount val="1"/>
                <c:pt idx="0">
                  <c:v>Post-Installation Monitoring</c:v>
                </c:pt>
              </c:strCache>
            </c:strRef>
          </c:tx>
          <c:invertIfNegative val="0"/>
          <c:cat>
            <c:numRef>
              <c:f>'NEW Report Graphs and Tables'!$C$177:$F$177</c:f>
              <c:numCache>
                <c:formatCode>General</c:formatCode>
                <c:ptCount val="4"/>
                <c:pt idx="0">
                  <c:v>1</c:v>
                </c:pt>
                <c:pt idx="1">
                  <c:v>10</c:v>
                </c:pt>
                <c:pt idx="2">
                  <c:v>50</c:v>
                </c:pt>
                <c:pt idx="3">
                  <c:v>100</c:v>
                </c:pt>
              </c:numCache>
            </c:numRef>
          </c:cat>
          <c:val>
            <c:numRef>
              <c:f>'NEW Report Graphs and Tables'!$C$178:$F$178</c:f>
              <c:numCache>
                <c:formatCode>"$"#,##0</c:formatCode>
                <c:ptCount val="4"/>
                <c:pt idx="0">
                  <c:v>1290.6628178083713</c:v>
                </c:pt>
                <c:pt idx="1">
                  <c:v>578.71655379149558</c:v>
                </c:pt>
                <c:pt idx="2">
                  <c:v>99.089596980126572</c:v>
                </c:pt>
                <c:pt idx="3">
                  <c:v>49.544798490063286</c:v>
                </c:pt>
              </c:numCache>
            </c:numRef>
          </c:val>
        </c:ser>
        <c:ser>
          <c:idx val="1"/>
          <c:order val="1"/>
          <c:tx>
            <c:strRef>
              <c:f>'NEW Report Graphs and Tables'!$B$179</c:f>
              <c:strCache>
                <c:ptCount val="1"/>
                <c:pt idx="0">
                  <c:v>Insurance</c:v>
                </c:pt>
              </c:strCache>
            </c:strRef>
          </c:tx>
          <c:invertIfNegative val="0"/>
          <c:cat>
            <c:numRef>
              <c:f>'NEW Report Graphs and Tables'!$C$177:$F$177</c:f>
              <c:numCache>
                <c:formatCode>General</c:formatCode>
                <c:ptCount val="4"/>
                <c:pt idx="0">
                  <c:v>1</c:v>
                </c:pt>
                <c:pt idx="1">
                  <c:v>10</c:v>
                </c:pt>
                <c:pt idx="2">
                  <c:v>50</c:v>
                </c:pt>
                <c:pt idx="3">
                  <c:v>100</c:v>
                </c:pt>
              </c:numCache>
            </c:numRef>
          </c:cat>
          <c:val>
            <c:numRef>
              <c:f>'NEW Report Graphs and Tables'!$C$179:$F$179</c:f>
              <c:numCache>
                <c:formatCode>"$"#,##0</c:formatCode>
                <c:ptCount val="4"/>
                <c:pt idx="0">
                  <c:v>727.48687315698805</c:v>
                </c:pt>
                <c:pt idx="1">
                  <c:v>331.6189711846514</c:v>
                </c:pt>
                <c:pt idx="2">
                  <c:v>125.94503213218174</c:v>
                </c:pt>
                <c:pt idx="3">
                  <c:v>61.227863538205497</c:v>
                </c:pt>
              </c:numCache>
            </c:numRef>
          </c:val>
        </c:ser>
        <c:ser>
          <c:idx val="2"/>
          <c:order val="2"/>
          <c:tx>
            <c:strRef>
              <c:f>'NEW Report Graphs and Tables'!$B$180</c:f>
              <c:strCache>
                <c:ptCount val="1"/>
                <c:pt idx="0">
                  <c:v>Marine Operations</c:v>
                </c:pt>
              </c:strCache>
            </c:strRef>
          </c:tx>
          <c:invertIfNegative val="0"/>
          <c:cat>
            <c:numRef>
              <c:f>'NEW Report Graphs and Tables'!$C$177:$F$177</c:f>
              <c:numCache>
                <c:formatCode>General</c:formatCode>
                <c:ptCount val="4"/>
                <c:pt idx="0">
                  <c:v>1</c:v>
                </c:pt>
                <c:pt idx="1">
                  <c:v>10</c:v>
                </c:pt>
                <c:pt idx="2">
                  <c:v>50</c:v>
                </c:pt>
                <c:pt idx="3">
                  <c:v>100</c:v>
                </c:pt>
              </c:numCache>
            </c:numRef>
          </c:cat>
          <c:val>
            <c:numRef>
              <c:f>'NEW Report Graphs and Tables'!$C$180:$F$180</c:f>
              <c:numCache>
                <c:formatCode>"$"#,##0</c:formatCode>
                <c:ptCount val="4"/>
                <c:pt idx="0">
                  <c:v>210.35028311313425</c:v>
                </c:pt>
                <c:pt idx="1">
                  <c:v>210.35028311313425</c:v>
                </c:pt>
                <c:pt idx="2">
                  <c:v>34.289996669257242</c:v>
                </c:pt>
                <c:pt idx="3">
                  <c:v>34.289996669257242</c:v>
                </c:pt>
              </c:numCache>
            </c:numRef>
          </c:val>
        </c:ser>
        <c:ser>
          <c:idx val="3"/>
          <c:order val="3"/>
          <c:tx>
            <c:strRef>
              <c:f>'NEW Report Graphs and Tables'!$B$181</c:f>
              <c:strCache>
                <c:ptCount val="1"/>
                <c:pt idx="0">
                  <c:v>Shoreside Operations</c:v>
                </c:pt>
              </c:strCache>
            </c:strRef>
          </c:tx>
          <c:invertIfNegative val="0"/>
          <c:cat>
            <c:numRef>
              <c:f>'NEW Report Graphs and Tables'!$C$177:$F$177</c:f>
              <c:numCache>
                <c:formatCode>General</c:formatCode>
                <c:ptCount val="4"/>
                <c:pt idx="0">
                  <c:v>1</c:v>
                </c:pt>
                <c:pt idx="1">
                  <c:v>10</c:v>
                </c:pt>
                <c:pt idx="2">
                  <c:v>50</c:v>
                </c:pt>
                <c:pt idx="3">
                  <c:v>100</c:v>
                </c:pt>
              </c:numCache>
            </c:numRef>
          </c:cat>
          <c:val>
            <c:numRef>
              <c:f>'NEW Report Graphs and Tables'!$C$181:$F$181</c:f>
              <c:numCache>
                <c:formatCode>"$"#,##0</c:formatCode>
                <c:ptCount val="4"/>
                <c:pt idx="0">
                  <c:v>725.9936715887643</c:v>
                </c:pt>
                <c:pt idx="1">
                  <c:v>111.00699455978685</c:v>
                </c:pt>
                <c:pt idx="2">
                  <c:v>25.241034750749417</c:v>
                </c:pt>
                <c:pt idx="3">
                  <c:v>18.725269235039413</c:v>
                </c:pt>
              </c:numCache>
            </c:numRef>
          </c:val>
        </c:ser>
        <c:ser>
          <c:idx val="4"/>
          <c:order val="4"/>
          <c:tx>
            <c:strRef>
              <c:f>'NEW Report Graphs and Tables'!$B$182</c:f>
              <c:strCache>
                <c:ptCount val="1"/>
                <c:pt idx="0">
                  <c:v>Replacement Parts</c:v>
                </c:pt>
              </c:strCache>
            </c:strRef>
          </c:tx>
          <c:invertIfNegative val="0"/>
          <c:cat>
            <c:numRef>
              <c:f>'NEW Report Graphs and Tables'!$C$177:$F$177</c:f>
              <c:numCache>
                <c:formatCode>General</c:formatCode>
                <c:ptCount val="4"/>
                <c:pt idx="0">
                  <c:v>1</c:v>
                </c:pt>
                <c:pt idx="1">
                  <c:v>10</c:v>
                </c:pt>
                <c:pt idx="2">
                  <c:v>50</c:v>
                </c:pt>
                <c:pt idx="3">
                  <c:v>100</c:v>
                </c:pt>
              </c:numCache>
            </c:numRef>
          </c:cat>
          <c:val>
            <c:numRef>
              <c:f>'NEW Report Graphs and Tables'!$C$182:$F$182</c:f>
              <c:numCache>
                <c:formatCode>"$"#,##0</c:formatCode>
                <c:ptCount val="4"/>
                <c:pt idx="0">
                  <c:v>177.26732211150372</c:v>
                </c:pt>
                <c:pt idx="1">
                  <c:v>13.377677803215823</c:v>
                </c:pt>
                <c:pt idx="2">
                  <c:v>2.4122049309667566</c:v>
                </c:pt>
                <c:pt idx="3">
                  <c:v>1.1631177568847488</c:v>
                </c:pt>
              </c:numCache>
            </c:numRef>
          </c:val>
        </c:ser>
        <c:ser>
          <c:idx val="5"/>
          <c:order val="5"/>
          <c:tx>
            <c:strRef>
              <c:f>'NEW Report Graphs and Tables'!$B$183</c:f>
              <c:strCache>
                <c:ptCount val="1"/>
                <c:pt idx="0">
                  <c:v>Consumables</c:v>
                </c:pt>
              </c:strCache>
            </c:strRef>
          </c:tx>
          <c:invertIfNegative val="0"/>
          <c:cat>
            <c:numRef>
              <c:f>'NEW Report Graphs and Tables'!$C$177:$F$177</c:f>
              <c:numCache>
                <c:formatCode>General</c:formatCode>
                <c:ptCount val="4"/>
                <c:pt idx="0">
                  <c:v>1</c:v>
                </c:pt>
                <c:pt idx="1">
                  <c:v>10</c:v>
                </c:pt>
                <c:pt idx="2">
                  <c:v>50</c:v>
                </c:pt>
                <c:pt idx="3">
                  <c:v>100</c:v>
                </c:pt>
              </c:numCache>
            </c:numRef>
          </c:cat>
          <c:val>
            <c:numRef>
              <c:f>'NEW Report Graphs and Tables'!$C$183:$F$183</c:f>
              <c:numCache>
                <c:formatCode>"$"#,##0</c:formatCode>
                <c:ptCount val="4"/>
                <c:pt idx="0">
                  <c:v>37.470856000888197</c:v>
                </c:pt>
                <c:pt idx="1">
                  <c:v>37.470856000888197</c:v>
                </c:pt>
                <c:pt idx="2">
                  <c:v>37.470856000888197</c:v>
                </c:pt>
                <c:pt idx="3">
                  <c:v>37.470856000888197</c:v>
                </c:pt>
              </c:numCache>
            </c:numRef>
          </c:val>
        </c:ser>
        <c:dLbls>
          <c:showLegendKey val="0"/>
          <c:showVal val="0"/>
          <c:showCatName val="0"/>
          <c:showSerName val="0"/>
          <c:showPercent val="0"/>
          <c:showBubbleSize val="0"/>
        </c:dLbls>
        <c:gapWidth val="150"/>
        <c:overlap val="100"/>
        <c:axId val="108442752"/>
        <c:axId val="108444672"/>
      </c:barChart>
      <c:catAx>
        <c:axId val="108442752"/>
        <c:scaling>
          <c:orientation val="minMax"/>
        </c:scaling>
        <c:delete val="0"/>
        <c:axPos val="b"/>
        <c:title>
          <c:tx>
            <c:rich>
              <a:bodyPr/>
              <a:lstStyle/>
              <a:p>
                <a:pPr>
                  <a:defRPr/>
                </a:pPr>
                <a:r>
                  <a:rPr lang="en-US" sz="1000" b="1" i="0" u="none" strike="noStrike" baseline="0">
                    <a:effectLst/>
                  </a:rPr>
                  <a:t>Array Scale [# of Units]</a:t>
                </a:r>
                <a:endParaRPr lang="en-US"/>
              </a:p>
            </c:rich>
          </c:tx>
          <c:overlay val="0"/>
        </c:title>
        <c:numFmt formatCode="General" sourceLinked="1"/>
        <c:majorTickMark val="out"/>
        <c:minorTickMark val="none"/>
        <c:tickLblPos val="nextTo"/>
        <c:crossAx val="108444672"/>
        <c:crosses val="autoZero"/>
        <c:auto val="1"/>
        <c:lblAlgn val="ctr"/>
        <c:lblOffset val="100"/>
        <c:noMultiLvlLbl val="0"/>
      </c:catAx>
      <c:valAx>
        <c:axId val="108444672"/>
        <c:scaling>
          <c:orientation val="minMax"/>
        </c:scaling>
        <c:delete val="0"/>
        <c:axPos val="l"/>
        <c:majorGridlines/>
        <c:title>
          <c:tx>
            <c:rich>
              <a:bodyPr rot="-5400000" vert="horz"/>
              <a:lstStyle/>
              <a:p>
                <a:pPr>
                  <a:defRPr/>
                </a:pPr>
                <a:r>
                  <a:rPr lang="en-US"/>
                  <a:t>$/kW</a:t>
                </a:r>
              </a:p>
            </c:rich>
          </c:tx>
          <c:overlay val="0"/>
        </c:title>
        <c:numFmt formatCode="&quot;$&quot;#,##0" sourceLinked="1"/>
        <c:majorTickMark val="out"/>
        <c:minorTickMark val="none"/>
        <c:tickLblPos val="nextTo"/>
        <c:crossAx val="1084427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'NEW Report Graphs and Tables'!$B$208</c:f>
              <c:strCache>
                <c:ptCount val="1"/>
                <c:pt idx="0">
                  <c:v>O&amp;M</c:v>
                </c:pt>
              </c:strCache>
            </c:strRef>
          </c:tx>
          <c:invertIfNegative val="0"/>
          <c:cat>
            <c:numRef>
              <c:f>'NEW Report Graphs and Tables'!$C$207:$F$207</c:f>
              <c:numCache>
                <c:formatCode>General</c:formatCode>
                <c:ptCount val="4"/>
                <c:pt idx="0">
                  <c:v>1</c:v>
                </c:pt>
                <c:pt idx="1">
                  <c:v>10</c:v>
                </c:pt>
                <c:pt idx="2">
                  <c:v>50</c:v>
                </c:pt>
                <c:pt idx="3">
                  <c:v>100</c:v>
                </c:pt>
              </c:numCache>
            </c:numRef>
          </c:cat>
          <c:val>
            <c:numRef>
              <c:f>'NEW Report Graphs and Tables'!$C$208:$F$208</c:f>
              <c:numCache>
                <c:formatCode>0.0</c:formatCode>
                <c:ptCount val="4"/>
                <c:pt idx="0">
                  <c:v>129.53735921069261</c:v>
                </c:pt>
                <c:pt idx="1">
                  <c:v>52.421857106230902</c:v>
                </c:pt>
                <c:pt idx="2">
                  <c:v>13.261330478384178</c:v>
                </c:pt>
                <c:pt idx="3">
                  <c:v>8.2736764141479799</c:v>
                </c:pt>
              </c:numCache>
            </c:numRef>
          </c:val>
        </c:ser>
        <c:ser>
          <c:idx val="1"/>
          <c:order val="1"/>
          <c:tx>
            <c:strRef>
              <c:f>'NEW Report Graphs and Tables'!$B$209</c:f>
              <c:strCache>
                <c:ptCount val="1"/>
                <c:pt idx="0">
                  <c:v>Contingency</c:v>
                </c:pt>
              </c:strCache>
            </c:strRef>
          </c:tx>
          <c:invertIfNegative val="0"/>
          <c:cat>
            <c:numRef>
              <c:f>'NEW Report Graphs and Tables'!$C$207:$F$207</c:f>
              <c:numCache>
                <c:formatCode>General</c:formatCode>
                <c:ptCount val="4"/>
                <c:pt idx="0">
                  <c:v>1</c:v>
                </c:pt>
                <c:pt idx="1">
                  <c:v>10</c:v>
                </c:pt>
                <c:pt idx="2">
                  <c:v>50</c:v>
                </c:pt>
                <c:pt idx="3">
                  <c:v>100</c:v>
                </c:pt>
              </c:numCache>
            </c:numRef>
          </c:cat>
          <c:val>
            <c:numRef>
              <c:f>'NEW Report Graphs and Tables'!$C$209:$F$209</c:f>
              <c:numCache>
                <c:formatCode>0.0</c:formatCode>
                <c:ptCount val="4"/>
                <c:pt idx="0">
                  <c:v>20.90155852601638</c:v>
                </c:pt>
                <c:pt idx="1">
                  <c:v>8.3271657671965968</c:v>
                </c:pt>
                <c:pt idx="2">
                  <c:v>5.8115789219741236</c:v>
                </c:pt>
                <c:pt idx="3">
                  <c:v>5.5407335130740192</c:v>
                </c:pt>
              </c:numCache>
            </c:numRef>
          </c:val>
        </c:ser>
        <c:ser>
          <c:idx val="2"/>
          <c:order val="2"/>
          <c:tx>
            <c:strRef>
              <c:f>'NEW Report Graphs and Tables'!$B$210</c:f>
              <c:strCache>
                <c:ptCount val="1"/>
                <c:pt idx="0">
                  <c:v>Subsystem Integration &amp; Profit Margin</c:v>
                </c:pt>
              </c:strCache>
            </c:strRef>
          </c:tx>
          <c:invertIfNegative val="0"/>
          <c:cat>
            <c:numRef>
              <c:f>'NEW Report Graphs and Tables'!$C$207:$F$207</c:f>
              <c:numCache>
                <c:formatCode>General</c:formatCode>
                <c:ptCount val="4"/>
                <c:pt idx="0">
                  <c:v>1</c:v>
                </c:pt>
                <c:pt idx="1">
                  <c:v>10</c:v>
                </c:pt>
                <c:pt idx="2">
                  <c:v>50</c:v>
                </c:pt>
                <c:pt idx="3">
                  <c:v>100</c:v>
                </c:pt>
              </c:numCache>
            </c:numRef>
          </c:cat>
          <c:val>
            <c:numRef>
              <c:f>'NEW Report Graphs and Tables'!$C$210:$F$210</c:f>
              <c:numCache>
                <c:formatCode>0.0</c:formatCode>
                <c:ptCount val="4"/>
                <c:pt idx="0">
                  <c:v>5.4002070977121601</c:v>
                </c:pt>
                <c:pt idx="1">
                  <c:v>3.8690432843427858</c:v>
                </c:pt>
                <c:pt idx="2">
                  <c:v>3.4227703247878942</c:v>
                </c:pt>
                <c:pt idx="3">
                  <c:v>3.3141431332563736</c:v>
                </c:pt>
              </c:numCache>
            </c:numRef>
          </c:val>
        </c:ser>
        <c:ser>
          <c:idx val="3"/>
          <c:order val="3"/>
          <c:tx>
            <c:strRef>
              <c:f>'NEW Report Graphs and Tables'!$B$211</c:f>
              <c:strCache>
                <c:ptCount val="1"/>
                <c:pt idx="0">
                  <c:v>Manufacturing &amp; Deployment</c:v>
                </c:pt>
              </c:strCache>
            </c:strRef>
          </c:tx>
          <c:invertIfNegative val="0"/>
          <c:cat>
            <c:numRef>
              <c:f>'NEW Report Graphs and Tables'!$C$207:$F$207</c:f>
              <c:numCache>
                <c:formatCode>General</c:formatCode>
                <c:ptCount val="4"/>
                <c:pt idx="0">
                  <c:v>1</c:v>
                </c:pt>
                <c:pt idx="1">
                  <c:v>10</c:v>
                </c:pt>
                <c:pt idx="2">
                  <c:v>50</c:v>
                </c:pt>
                <c:pt idx="3">
                  <c:v>100</c:v>
                </c:pt>
              </c:numCache>
            </c:numRef>
          </c:cat>
          <c:val>
            <c:numRef>
              <c:f>'NEW Report Graphs and Tables'!$C$211:$F$211</c:f>
              <c:numCache>
                <c:formatCode>0.0</c:formatCode>
                <c:ptCount val="4"/>
                <c:pt idx="0">
                  <c:v>155.24994738702435</c:v>
                </c:pt>
                <c:pt idx="1">
                  <c:v>69.362022342579166</c:v>
                </c:pt>
                <c:pt idx="2">
                  <c:v>52.201845362961848</c:v>
                </c:pt>
                <c:pt idx="3">
                  <c:v>50.769393486437195</c:v>
                </c:pt>
              </c:numCache>
            </c:numRef>
          </c:val>
        </c:ser>
        <c:ser>
          <c:idx val="4"/>
          <c:order val="4"/>
          <c:tx>
            <c:strRef>
              <c:f>'NEW Report Graphs and Tables'!$B$212</c:f>
              <c:strCache>
                <c:ptCount val="1"/>
                <c:pt idx="0">
                  <c:v>Development</c:v>
                </c:pt>
              </c:strCache>
            </c:strRef>
          </c:tx>
          <c:invertIfNegative val="0"/>
          <c:cat>
            <c:numRef>
              <c:f>'NEW Report Graphs and Tables'!$C$207:$F$207</c:f>
              <c:numCache>
                <c:formatCode>General</c:formatCode>
                <c:ptCount val="4"/>
                <c:pt idx="0">
                  <c:v>1</c:v>
                </c:pt>
                <c:pt idx="1">
                  <c:v>10</c:v>
                </c:pt>
                <c:pt idx="2">
                  <c:v>50</c:v>
                </c:pt>
                <c:pt idx="3">
                  <c:v>100</c:v>
                </c:pt>
              </c:numCache>
            </c:numRef>
          </c:cat>
          <c:val>
            <c:numRef>
              <c:f>'NEW Report Graphs and Tables'!$C$212:$F$212</c:f>
              <c:numCache>
                <c:formatCode>0.0</c:formatCode>
                <c:ptCount val="4"/>
                <c:pt idx="0">
                  <c:v>48.365430775427285</c:v>
                </c:pt>
                <c:pt idx="1">
                  <c:v>10.040592045044026</c:v>
                </c:pt>
                <c:pt idx="2">
                  <c:v>2.4911735319915005</c:v>
                </c:pt>
                <c:pt idx="3">
                  <c:v>1.3237985110466268</c:v>
                </c:pt>
              </c:numCache>
            </c:numRef>
          </c:val>
        </c:ser>
        <c:dLbls>
          <c:showLegendKey val="0"/>
          <c:showVal val="0"/>
          <c:showCatName val="0"/>
          <c:showSerName val="0"/>
          <c:showPercent val="0"/>
          <c:showBubbleSize val="0"/>
        </c:dLbls>
        <c:gapWidth val="150"/>
        <c:overlap val="100"/>
        <c:axId val="108878080"/>
        <c:axId val="108892544"/>
      </c:barChart>
      <c:catAx>
        <c:axId val="108878080"/>
        <c:scaling>
          <c:orientation val="minMax"/>
        </c:scaling>
        <c:delete val="0"/>
        <c:axPos val="b"/>
        <c:title>
          <c:tx>
            <c:rich>
              <a:bodyPr/>
              <a:lstStyle/>
              <a:p>
                <a:pPr>
                  <a:defRPr/>
                </a:pPr>
                <a:r>
                  <a:rPr lang="en-US"/>
                  <a:t>Array Scale (# of Units)</a:t>
                </a:r>
              </a:p>
            </c:rich>
          </c:tx>
          <c:overlay val="0"/>
        </c:title>
        <c:numFmt formatCode="General" sourceLinked="1"/>
        <c:majorTickMark val="out"/>
        <c:minorTickMark val="none"/>
        <c:tickLblPos val="nextTo"/>
        <c:crossAx val="108892544"/>
        <c:crosses val="autoZero"/>
        <c:auto val="1"/>
        <c:lblAlgn val="ctr"/>
        <c:lblOffset val="100"/>
        <c:noMultiLvlLbl val="0"/>
      </c:catAx>
      <c:valAx>
        <c:axId val="108892544"/>
        <c:scaling>
          <c:orientation val="minMax"/>
        </c:scaling>
        <c:delete val="0"/>
        <c:axPos val="l"/>
        <c:majorGridlines/>
        <c:title>
          <c:tx>
            <c:rich>
              <a:bodyPr rot="-5400000" vert="horz"/>
              <a:lstStyle/>
              <a:p>
                <a:pPr>
                  <a:defRPr/>
                </a:pPr>
                <a:r>
                  <a:rPr lang="en-US"/>
                  <a:t>cents/kWh</a:t>
                </a:r>
              </a:p>
            </c:rich>
          </c:tx>
          <c:overlay val="0"/>
        </c:title>
        <c:numFmt formatCode="0.0" sourceLinked="1"/>
        <c:majorTickMark val="out"/>
        <c:minorTickMark val="none"/>
        <c:tickLblPos val="nextTo"/>
        <c:crossAx val="1088780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'NEW Report Graphs and Tables'!$B$239</c:f>
              <c:strCache>
                <c:ptCount val="1"/>
                <c:pt idx="0">
                  <c:v>Contingency</c:v>
                </c:pt>
              </c:strCache>
            </c:strRef>
          </c:tx>
          <c:invertIfNegative val="0"/>
          <c:cat>
            <c:numRef>
              <c:f>'NEW Report Graphs and Tables'!$C$238:$F$238</c:f>
              <c:numCache>
                <c:formatCode>General</c:formatCode>
                <c:ptCount val="4"/>
                <c:pt idx="0">
                  <c:v>1</c:v>
                </c:pt>
                <c:pt idx="1">
                  <c:v>10</c:v>
                </c:pt>
                <c:pt idx="2">
                  <c:v>50</c:v>
                </c:pt>
                <c:pt idx="3">
                  <c:v>100</c:v>
                </c:pt>
              </c:numCache>
            </c:numRef>
          </c:cat>
          <c:val>
            <c:numRef>
              <c:f>'NEW Report Graphs and Tables'!$C$239:$F$239</c:f>
              <c:numCache>
                <c:formatCode>0.0</c:formatCode>
                <c:ptCount val="4"/>
                <c:pt idx="0">
                  <c:v>20.90155852601638</c:v>
                </c:pt>
                <c:pt idx="1">
                  <c:v>8.3271657671965968</c:v>
                </c:pt>
                <c:pt idx="2">
                  <c:v>5.8115789219741236</c:v>
                </c:pt>
                <c:pt idx="3">
                  <c:v>5.5407335130740192</c:v>
                </c:pt>
              </c:numCache>
            </c:numRef>
          </c:val>
        </c:ser>
        <c:ser>
          <c:idx val="1"/>
          <c:order val="1"/>
          <c:tx>
            <c:strRef>
              <c:f>'NEW Report Graphs and Tables'!$B$240</c:f>
              <c:strCache>
                <c:ptCount val="1"/>
                <c:pt idx="0">
                  <c:v>Subsystem Integration &amp; Profit Margin</c:v>
                </c:pt>
              </c:strCache>
            </c:strRef>
          </c:tx>
          <c:invertIfNegative val="0"/>
          <c:cat>
            <c:numRef>
              <c:f>'NEW Report Graphs and Tables'!$C$238:$F$238</c:f>
              <c:numCache>
                <c:formatCode>General</c:formatCode>
                <c:ptCount val="4"/>
                <c:pt idx="0">
                  <c:v>1</c:v>
                </c:pt>
                <c:pt idx="1">
                  <c:v>10</c:v>
                </c:pt>
                <c:pt idx="2">
                  <c:v>50</c:v>
                </c:pt>
                <c:pt idx="3">
                  <c:v>100</c:v>
                </c:pt>
              </c:numCache>
            </c:numRef>
          </c:cat>
          <c:val>
            <c:numRef>
              <c:f>'NEW Report Graphs and Tables'!$C$240:$F$240</c:f>
              <c:numCache>
                <c:formatCode>0.0</c:formatCode>
                <c:ptCount val="4"/>
                <c:pt idx="0">
                  <c:v>5.4002070977121601</c:v>
                </c:pt>
                <c:pt idx="1">
                  <c:v>3.8690432843427858</c:v>
                </c:pt>
                <c:pt idx="2">
                  <c:v>3.4227703247878942</c:v>
                </c:pt>
                <c:pt idx="3">
                  <c:v>3.3141431332563736</c:v>
                </c:pt>
              </c:numCache>
            </c:numRef>
          </c:val>
        </c:ser>
        <c:ser>
          <c:idx val="2"/>
          <c:order val="2"/>
          <c:tx>
            <c:strRef>
              <c:f>'NEW Report Graphs and Tables'!$B$241</c:f>
              <c:strCache>
                <c:ptCount val="1"/>
                <c:pt idx="0">
                  <c:v>Installation</c:v>
                </c:pt>
              </c:strCache>
            </c:strRef>
          </c:tx>
          <c:invertIfNegative val="0"/>
          <c:cat>
            <c:numRef>
              <c:f>'NEW Report Graphs and Tables'!$C$238:$F$238</c:f>
              <c:numCache>
                <c:formatCode>General</c:formatCode>
                <c:ptCount val="4"/>
                <c:pt idx="0">
                  <c:v>1</c:v>
                </c:pt>
                <c:pt idx="1">
                  <c:v>10</c:v>
                </c:pt>
                <c:pt idx="2">
                  <c:v>50</c:v>
                </c:pt>
                <c:pt idx="3">
                  <c:v>100</c:v>
                </c:pt>
              </c:numCache>
            </c:numRef>
          </c:cat>
          <c:val>
            <c:numRef>
              <c:f>'NEW Report Graphs and Tables'!$C$241:$F$241</c:f>
              <c:numCache>
                <c:formatCode>0.0</c:formatCode>
                <c:ptCount val="4"/>
                <c:pt idx="0">
                  <c:v>72.43103799279875</c:v>
                </c:pt>
                <c:pt idx="1">
                  <c:v>11.133354601024632</c:v>
                </c:pt>
                <c:pt idx="2">
                  <c:v>5.2789138003286</c:v>
                </c:pt>
                <c:pt idx="3">
                  <c:v>4.641108717218561</c:v>
                </c:pt>
              </c:numCache>
            </c:numRef>
          </c:val>
        </c:ser>
        <c:ser>
          <c:idx val="3"/>
          <c:order val="3"/>
          <c:tx>
            <c:strRef>
              <c:f>'NEW Report Graphs and Tables'!$B$242</c:f>
              <c:strCache>
                <c:ptCount val="1"/>
                <c:pt idx="0">
                  <c:v>PCC</c:v>
                </c:pt>
              </c:strCache>
            </c:strRef>
          </c:tx>
          <c:invertIfNegative val="0"/>
          <c:cat>
            <c:numRef>
              <c:f>'NEW Report Graphs and Tables'!$C$238:$F$238</c:f>
              <c:numCache>
                <c:formatCode>General</c:formatCode>
                <c:ptCount val="4"/>
                <c:pt idx="0">
                  <c:v>1</c:v>
                </c:pt>
                <c:pt idx="1">
                  <c:v>10</c:v>
                </c:pt>
                <c:pt idx="2">
                  <c:v>50</c:v>
                </c:pt>
                <c:pt idx="3">
                  <c:v>100</c:v>
                </c:pt>
              </c:numCache>
            </c:numRef>
          </c:cat>
          <c:val>
            <c:numRef>
              <c:f>'NEW Report Graphs and Tables'!$C$242:$F$242</c:f>
              <c:numCache>
                <c:formatCode>0.0</c:formatCode>
                <c:ptCount val="4"/>
                <c:pt idx="0">
                  <c:v>7.2099013193420989</c:v>
                </c:pt>
                <c:pt idx="1">
                  <c:v>5.7902528396430935</c:v>
                </c:pt>
                <c:pt idx="2">
                  <c:v>5.0834164607721366</c:v>
                </c:pt>
                <c:pt idx="3">
                  <c:v>4.8277747760683987</c:v>
                </c:pt>
              </c:numCache>
            </c:numRef>
          </c:val>
        </c:ser>
        <c:ser>
          <c:idx val="4"/>
          <c:order val="4"/>
          <c:tx>
            <c:strRef>
              <c:f>'NEW Report Graphs and Tables'!$B$243</c:f>
              <c:strCache>
                <c:ptCount val="1"/>
                <c:pt idx="0">
                  <c:v>Device Structural Components</c:v>
                </c:pt>
              </c:strCache>
            </c:strRef>
          </c:tx>
          <c:invertIfNegative val="0"/>
          <c:cat>
            <c:numRef>
              <c:f>'NEW Report Graphs and Tables'!$C$238:$F$238</c:f>
              <c:numCache>
                <c:formatCode>General</c:formatCode>
                <c:ptCount val="4"/>
                <c:pt idx="0">
                  <c:v>1</c:v>
                </c:pt>
                <c:pt idx="1">
                  <c:v>10</c:v>
                </c:pt>
                <c:pt idx="2">
                  <c:v>50</c:v>
                </c:pt>
                <c:pt idx="3">
                  <c:v>100</c:v>
                </c:pt>
              </c:numCache>
            </c:numRef>
          </c:cat>
          <c:val>
            <c:numRef>
              <c:f>'NEW Report Graphs and Tables'!$C$243:$F$243</c:f>
              <c:numCache>
                <c:formatCode>0.0</c:formatCode>
                <c:ptCount val="4"/>
                <c:pt idx="0">
                  <c:v>46.792169657779496</c:v>
                </c:pt>
                <c:pt idx="1">
                  <c:v>32.900180003784762</c:v>
                </c:pt>
                <c:pt idx="2">
                  <c:v>29.144286787106807</c:v>
                </c:pt>
                <c:pt idx="3">
                  <c:v>28.313656556495335</c:v>
                </c:pt>
              </c:numCache>
            </c:numRef>
          </c:val>
        </c:ser>
        <c:ser>
          <c:idx val="5"/>
          <c:order val="5"/>
          <c:tx>
            <c:strRef>
              <c:f>'NEW Report Graphs and Tables'!$B$244</c:f>
              <c:strCache>
                <c:ptCount val="1"/>
                <c:pt idx="0">
                  <c:v>Mooring/Foundation</c:v>
                </c:pt>
              </c:strCache>
            </c:strRef>
          </c:tx>
          <c:invertIfNegative val="0"/>
          <c:cat>
            <c:numRef>
              <c:f>'NEW Report Graphs and Tables'!$C$238:$F$238</c:f>
              <c:numCache>
                <c:formatCode>General</c:formatCode>
                <c:ptCount val="4"/>
                <c:pt idx="0">
                  <c:v>1</c:v>
                </c:pt>
                <c:pt idx="1">
                  <c:v>10</c:v>
                </c:pt>
                <c:pt idx="2">
                  <c:v>50</c:v>
                </c:pt>
                <c:pt idx="3">
                  <c:v>100</c:v>
                </c:pt>
              </c:numCache>
            </c:numRef>
          </c:cat>
          <c:val>
            <c:numRef>
              <c:f>'NEW Report Graphs and Tables'!$C$244:$F$244</c:f>
              <c:numCache>
                <c:formatCode>0.0</c:formatCode>
                <c:ptCount val="4"/>
                <c:pt idx="0">
                  <c:v>15.494039975454758</c:v>
                </c:pt>
                <c:pt idx="1">
                  <c:v>10.211785639379226</c:v>
                </c:pt>
                <c:pt idx="2">
                  <c:v>9.21717865164727</c:v>
                </c:pt>
                <c:pt idx="3">
                  <c:v>8.918177688786491</c:v>
                </c:pt>
              </c:numCache>
            </c:numRef>
          </c:val>
        </c:ser>
        <c:ser>
          <c:idx val="6"/>
          <c:order val="6"/>
          <c:tx>
            <c:strRef>
              <c:f>'NEW Report Graphs and Tables'!$B$245</c:f>
              <c:strCache>
                <c:ptCount val="1"/>
                <c:pt idx="0">
                  <c:v>Infrastructure</c:v>
                </c:pt>
              </c:strCache>
            </c:strRef>
          </c:tx>
          <c:invertIfNegative val="0"/>
          <c:cat>
            <c:numRef>
              <c:f>'NEW Report Graphs and Tables'!$C$238:$F$238</c:f>
              <c:numCache>
                <c:formatCode>General</c:formatCode>
                <c:ptCount val="4"/>
                <c:pt idx="0">
                  <c:v>1</c:v>
                </c:pt>
                <c:pt idx="1">
                  <c:v>10</c:v>
                </c:pt>
                <c:pt idx="2">
                  <c:v>50</c:v>
                </c:pt>
                <c:pt idx="3">
                  <c:v>100</c:v>
                </c:pt>
              </c:numCache>
            </c:numRef>
          </c:cat>
          <c:val>
            <c:numRef>
              <c:f>'NEW Report Graphs and Tables'!$C$245:$F$245</c:f>
              <c:numCache>
                <c:formatCode>0.0</c:formatCode>
                <c:ptCount val="4"/>
                <c:pt idx="0">
                  <c:v>13.32279844164923</c:v>
                </c:pt>
                <c:pt idx="1">
                  <c:v>9.3264492587474557</c:v>
                </c:pt>
                <c:pt idx="2">
                  <c:v>3.4780496631070292</c:v>
                </c:pt>
                <c:pt idx="3">
                  <c:v>4.0686757478684017</c:v>
                </c:pt>
              </c:numCache>
            </c:numRef>
          </c:val>
        </c:ser>
        <c:ser>
          <c:idx val="7"/>
          <c:order val="7"/>
          <c:tx>
            <c:strRef>
              <c:f>'NEW Report Graphs and Tables'!$B$246</c:f>
              <c:strCache>
                <c:ptCount val="1"/>
                <c:pt idx="0">
                  <c:v>Permitting and Environmental Compliance</c:v>
                </c:pt>
              </c:strCache>
            </c:strRef>
          </c:tx>
          <c:invertIfNegative val="0"/>
          <c:cat>
            <c:numRef>
              <c:f>'NEW Report Graphs and Tables'!$C$238:$F$238</c:f>
              <c:numCache>
                <c:formatCode>General</c:formatCode>
                <c:ptCount val="4"/>
                <c:pt idx="0">
                  <c:v>1</c:v>
                </c:pt>
                <c:pt idx="1">
                  <c:v>10</c:v>
                </c:pt>
                <c:pt idx="2">
                  <c:v>50</c:v>
                </c:pt>
                <c:pt idx="3">
                  <c:v>100</c:v>
                </c:pt>
              </c:numCache>
            </c:numRef>
          </c:cat>
          <c:val>
            <c:numRef>
              <c:f>'NEW Report Graphs and Tables'!$C$246:$F$246</c:f>
              <c:numCache>
                <c:formatCode>0.0</c:formatCode>
                <c:ptCount val="4"/>
                <c:pt idx="0">
                  <c:v>36.034565715152652</c:v>
                </c:pt>
                <c:pt idx="1">
                  <c:v>7.2547222283474557</c:v>
                </c:pt>
                <c:pt idx="2">
                  <c:v>1.3914895575189585</c:v>
                </c:pt>
                <c:pt idx="3">
                  <c:v>0.69574477875947927</c:v>
                </c:pt>
              </c:numCache>
            </c:numRef>
          </c:val>
        </c:ser>
        <c:ser>
          <c:idx val="8"/>
          <c:order val="8"/>
          <c:tx>
            <c:strRef>
              <c:f>'NEW Report Graphs and Tables'!$B$247</c:f>
              <c:strCache>
                <c:ptCount val="1"/>
                <c:pt idx="0">
                  <c:v>Site Assessment</c:v>
                </c:pt>
              </c:strCache>
            </c:strRef>
          </c:tx>
          <c:invertIfNegative val="0"/>
          <c:cat>
            <c:numRef>
              <c:f>'NEW Report Graphs and Tables'!$C$238:$F$238</c:f>
              <c:numCache>
                <c:formatCode>General</c:formatCode>
                <c:ptCount val="4"/>
                <c:pt idx="0">
                  <c:v>1</c:v>
                </c:pt>
                <c:pt idx="1">
                  <c:v>10</c:v>
                </c:pt>
                <c:pt idx="2">
                  <c:v>50</c:v>
                </c:pt>
                <c:pt idx="3">
                  <c:v>100</c:v>
                </c:pt>
              </c:numCache>
            </c:numRef>
          </c:cat>
          <c:val>
            <c:numRef>
              <c:f>'NEW Report Graphs and Tables'!$C$247:$F$247</c:f>
              <c:numCache>
                <c:formatCode>0.0</c:formatCode>
                <c:ptCount val="4"/>
                <c:pt idx="0">
                  <c:v>2.3777419526477819</c:v>
                </c:pt>
                <c:pt idx="1">
                  <c:v>0.36048172916358245</c:v>
                </c:pt>
                <c:pt idx="2">
                  <c:v>7.2096345832716485E-2</c:v>
                </c:pt>
                <c:pt idx="3">
                  <c:v>3.6048172916358243E-2</c:v>
                </c:pt>
              </c:numCache>
            </c:numRef>
          </c:val>
        </c:ser>
        <c:ser>
          <c:idx val="9"/>
          <c:order val="9"/>
          <c:tx>
            <c:strRef>
              <c:f>'NEW Report Graphs and Tables'!$B$248</c:f>
              <c:strCache>
                <c:ptCount val="1"/>
                <c:pt idx="0">
                  <c:v>Project Design, Engineering, and Management</c:v>
                </c:pt>
              </c:strCache>
            </c:strRef>
          </c:tx>
          <c:invertIfNegative val="0"/>
          <c:cat>
            <c:numRef>
              <c:f>'NEW Report Graphs and Tables'!$C$238:$F$238</c:f>
              <c:numCache>
                <c:formatCode>General</c:formatCode>
                <c:ptCount val="4"/>
                <c:pt idx="0">
                  <c:v>1</c:v>
                </c:pt>
                <c:pt idx="1">
                  <c:v>10</c:v>
                </c:pt>
                <c:pt idx="2">
                  <c:v>50</c:v>
                </c:pt>
                <c:pt idx="3">
                  <c:v>100</c:v>
                </c:pt>
              </c:numCache>
            </c:numRef>
          </c:cat>
          <c:val>
            <c:numRef>
              <c:f>'NEW Report Graphs and Tables'!$C$248:$F$248</c:f>
              <c:numCache>
                <c:formatCode>0.0</c:formatCode>
                <c:ptCount val="4"/>
                <c:pt idx="0">
                  <c:v>9.9531231076268476</c:v>
                </c:pt>
                <c:pt idx="1">
                  <c:v>2.4253880875329896</c:v>
                </c:pt>
                <c:pt idx="2">
                  <c:v>1.0275876286398253</c:v>
                </c:pt>
                <c:pt idx="3">
                  <c:v>0.59200555937078947</c:v>
                </c:pt>
              </c:numCache>
            </c:numRef>
          </c:val>
        </c:ser>
        <c:dLbls>
          <c:showLegendKey val="0"/>
          <c:showVal val="0"/>
          <c:showCatName val="0"/>
          <c:showSerName val="0"/>
          <c:showPercent val="0"/>
          <c:showBubbleSize val="0"/>
        </c:dLbls>
        <c:gapWidth val="150"/>
        <c:overlap val="100"/>
        <c:axId val="108916096"/>
        <c:axId val="108815872"/>
      </c:barChart>
      <c:catAx>
        <c:axId val="108916096"/>
        <c:scaling>
          <c:orientation val="minMax"/>
        </c:scaling>
        <c:delete val="0"/>
        <c:axPos val="b"/>
        <c:title>
          <c:tx>
            <c:rich>
              <a:bodyPr/>
              <a:lstStyle/>
              <a:p>
                <a:pPr>
                  <a:defRPr/>
                </a:pPr>
                <a:r>
                  <a:rPr lang="en-US"/>
                  <a:t>Array Scale (# of Units)</a:t>
                </a:r>
              </a:p>
            </c:rich>
          </c:tx>
          <c:overlay val="0"/>
        </c:title>
        <c:numFmt formatCode="General" sourceLinked="1"/>
        <c:majorTickMark val="out"/>
        <c:minorTickMark val="none"/>
        <c:tickLblPos val="nextTo"/>
        <c:crossAx val="108815872"/>
        <c:crosses val="autoZero"/>
        <c:auto val="1"/>
        <c:lblAlgn val="ctr"/>
        <c:lblOffset val="100"/>
        <c:noMultiLvlLbl val="0"/>
      </c:catAx>
      <c:valAx>
        <c:axId val="108815872"/>
        <c:scaling>
          <c:orientation val="minMax"/>
        </c:scaling>
        <c:delete val="0"/>
        <c:axPos val="l"/>
        <c:majorGridlines/>
        <c:title>
          <c:tx>
            <c:rich>
              <a:bodyPr rot="-5400000" vert="horz"/>
              <a:lstStyle/>
              <a:p>
                <a:pPr>
                  <a:defRPr/>
                </a:pPr>
                <a:r>
                  <a:rPr lang="en-US"/>
                  <a:t>cents/kWh</a:t>
                </a:r>
              </a:p>
            </c:rich>
          </c:tx>
          <c:overlay val="0"/>
        </c:title>
        <c:numFmt formatCode="0.0" sourceLinked="1"/>
        <c:majorTickMark val="out"/>
        <c:minorTickMark val="none"/>
        <c:tickLblPos val="nextTo"/>
        <c:crossAx val="108916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'NEW Report Graphs and Tables'!$B$280</c:f>
              <c:strCache>
                <c:ptCount val="1"/>
                <c:pt idx="0">
                  <c:v>Post-Installation Environmental Monitoring</c:v>
                </c:pt>
              </c:strCache>
            </c:strRef>
          </c:tx>
          <c:invertIfNegative val="0"/>
          <c:cat>
            <c:numRef>
              <c:f>'NEW Report Graphs and Tables'!$C$279:$F$279</c:f>
              <c:numCache>
                <c:formatCode>General</c:formatCode>
                <c:ptCount val="4"/>
                <c:pt idx="0">
                  <c:v>1</c:v>
                </c:pt>
                <c:pt idx="1">
                  <c:v>10</c:v>
                </c:pt>
                <c:pt idx="2">
                  <c:v>50</c:v>
                </c:pt>
                <c:pt idx="3">
                  <c:v>100</c:v>
                </c:pt>
              </c:numCache>
            </c:numRef>
          </c:cat>
          <c:val>
            <c:numRef>
              <c:f>'NEW Report Graphs and Tables'!$C$280:$F$280</c:f>
              <c:numCache>
                <c:formatCode>0.0</c:formatCode>
                <c:ptCount val="4"/>
                <c:pt idx="0">
                  <c:v>52.753809865173196</c:v>
                </c:pt>
                <c:pt idx="1">
                  <c:v>23.654127649222822</c:v>
                </c:pt>
                <c:pt idx="2">
                  <c:v>4.0501312090036201</c:v>
                </c:pt>
                <c:pt idx="3">
                  <c:v>2.0250656045018101</c:v>
                </c:pt>
              </c:numCache>
            </c:numRef>
          </c:val>
        </c:ser>
        <c:ser>
          <c:idx val="1"/>
          <c:order val="1"/>
          <c:tx>
            <c:strRef>
              <c:f>'NEW Report Graphs and Tables'!$B$281</c:f>
              <c:strCache>
                <c:ptCount val="1"/>
                <c:pt idx="0">
                  <c:v>Insurance</c:v>
                </c:pt>
              </c:strCache>
            </c:strRef>
          </c:tx>
          <c:invertIfNegative val="0"/>
          <c:cat>
            <c:numRef>
              <c:f>'NEW Report Graphs and Tables'!$C$279:$F$279</c:f>
              <c:numCache>
                <c:formatCode>General</c:formatCode>
                <c:ptCount val="4"/>
                <c:pt idx="0">
                  <c:v>1</c:v>
                </c:pt>
                <c:pt idx="1">
                  <c:v>10</c:v>
                </c:pt>
                <c:pt idx="2">
                  <c:v>50</c:v>
                </c:pt>
                <c:pt idx="3">
                  <c:v>100</c:v>
                </c:pt>
              </c:numCache>
            </c:numRef>
          </c:cat>
          <c:val>
            <c:numRef>
              <c:f>'NEW Report Graphs and Tables'!$C$281:$F$281</c:f>
              <c:numCache>
                <c:formatCode>0.0</c:formatCode>
                <c:ptCount val="4"/>
                <c:pt idx="0">
                  <c:v>29.734880137866629</c:v>
                </c:pt>
                <c:pt idx="1">
                  <c:v>13.554403142461073</c:v>
                </c:pt>
                <c:pt idx="2">
                  <c:v>5.1478048231422067</c:v>
                </c:pt>
                <c:pt idx="3">
                  <c:v>2.5025924873469414</c:v>
                </c:pt>
              </c:numCache>
            </c:numRef>
          </c:val>
        </c:ser>
        <c:ser>
          <c:idx val="2"/>
          <c:order val="2"/>
          <c:tx>
            <c:strRef>
              <c:f>'NEW Report Graphs and Tables'!$B$282</c:f>
              <c:strCache>
                <c:ptCount val="1"/>
                <c:pt idx="0">
                  <c:v>Consumables</c:v>
                </c:pt>
              </c:strCache>
            </c:strRef>
          </c:tx>
          <c:invertIfNegative val="0"/>
          <c:cat>
            <c:numRef>
              <c:f>'NEW Report Graphs and Tables'!$C$279:$F$279</c:f>
              <c:numCache>
                <c:formatCode>General</c:formatCode>
                <c:ptCount val="4"/>
                <c:pt idx="0">
                  <c:v>1</c:v>
                </c:pt>
                <c:pt idx="1">
                  <c:v>10</c:v>
                </c:pt>
                <c:pt idx="2">
                  <c:v>50</c:v>
                </c:pt>
                <c:pt idx="3">
                  <c:v>100</c:v>
                </c:pt>
              </c:numCache>
            </c:numRef>
          </c:cat>
          <c:val>
            <c:numRef>
              <c:f>'NEW Report Graphs and Tables'!$C$282:$F$282</c:f>
              <c:numCache>
                <c:formatCode>0.0</c:formatCode>
                <c:ptCount val="4"/>
                <c:pt idx="0">
                  <c:v>1.5315622218921252</c:v>
                </c:pt>
                <c:pt idx="1">
                  <c:v>1.5315622218921254</c:v>
                </c:pt>
                <c:pt idx="2">
                  <c:v>1.5315622218921252</c:v>
                </c:pt>
                <c:pt idx="3">
                  <c:v>1.5315622218921252</c:v>
                </c:pt>
              </c:numCache>
            </c:numRef>
          </c:val>
        </c:ser>
        <c:ser>
          <c:idx val="3"/>
          <c:order val="3"/>
          <c:tx>
            <c:strRef>
              <c:f>'NEW Report Graphs and Tables'!$B$283</c:f>
              <c:strCache>
                <c:ptCount val="1"/>
                <c:pt idx="0">
                  <c:v>Replacement Parts</c:v>
                </c:pt>
              </c:strCache>
            </c:strRef>
          </c:tx>
          <c:invertIfNegative val="0"/>
          <c:cat>
            <c:numRef>
              <c:f>'NEW Report Graphs and Tables'!$C$279:$F$279</c:f>
              <c:numCache>
                <c:formatCode>General</c:formatCode>
                <c:ptCount val="4"/>
                <c:pt idx="0">
                  <c:v>1</c:v>
                </c:pt>
                <c:pt idx="1">
                  <c:v>10</c:v>
                </c:pt>
                <c:pt idx="2">
                  <c:v>50</c:v>
                </c:pt>
                <c:pt idx="3">
                  <c:v>100</c:v>
                </c:pt>
              </c:numCache>
            </c:numRef>
          </c:cat>
          <c:val>
            <c:numRef>
              <c:f>'NEW Report Graphs and Tables'!$C$283:$F$283</c:f>
              <c:numCache>
                <c:formatCode>0.0</c:formatCode>
                <c:ptCount val="4"/>
                <c:pt idx="0">
                  <c:v>7.2455225926924696</c:v>
                </c:pt>
                <c:pt idx="1">
                  <c:v>0.54679151016898386</c:v>
                </c:pt>
                <c:pt idx="2">
                  <c:v>9.8595077295352274E-2</c:v>
                </c:pt>
                <c:pt idx="3">
                  <c:v>4.7540606385249512E-2</c:v>
                </c:pt>
              </c:numCache>
            </c:numRef>
          </c:val>
        </c:ser>
        <c:ser>
          <c:idx val="4"/>
          <c:order val="4"/>
          <c:tx>
            <c:strRef>
              <c:f>'NEW Report Graphs and Tables'!$B$284</c:f>
              <c:strCache>
                <c:ptCount val="1"/>
                <c:pt idx="0">
                  <c:v>Shoreside Operations</c:v>
                </c:pt>
              </c:strCache>
            </c:strRef>
          </c:tx>
          <c:invertIfNegative val="0"/>
          <c:cat>
            <c:numRef>
              <c:f>'NEW Report Graphs and Tables'!$C$279:$F$279</c:f>
              <c:numCache>
                <c:formatCode>General</c:formatCode>
                <c:ptCount val="4"/>
                <c:pt idx="0">
                  <c:v>1</c:v>
                </c:pt>
                <c:pt idx="1">
                  <c:v>10</c:v>
                </c:pt>
                <c:pt idx="2">
                  <c:v>50</c:v>
                </c:pt>
                <c:pt idx="3">
                  <c:v>100</c:v>
                </c:pt>
              </c:numCache>
            </c:numRef>
          </c:cat>
          <c:val>
            <c:numRef>
              <c:f>'NEW Report Graphs and Tables'!$C$284:$F$284</c:f>
              <c:numCache>
                <c:formatCode>0.0</c:formatCode>
                <c:ptCount val="4"/>
                <c:pt idx="0">
                  <c:v>29.673847875579714</c:v>
                </c:pt>
                <c:pt idx="1">
                  <c:v>4.5372360649973995</c:v>
                </c:pt>
                <c:pt idx="2">
                  <c:v>1.0316875404393691</c:v>
                </c:pt>
                <c:pt idx="3">
                  <c:v>0.76536588741034961</c:v>
                </c:pt>
              </c:numCache>
            </c:numRef>
          </c:val>
        </c:ser>
        <c:ser>
          <c:idx val="5"/>
          <c:order val="5"/>
          <c:tx>
            <c:strRef>
              <c:f>'NEW Report Graphs and Tables'!$B$285</c:f>
              <c:strCache>
                <c:ptCount val="1"/>
                <c:pt idx="0">
                  <c:v>Marine Operations</c:v>
                </c:pt>
              </c:strCache>
            </c:strRef>
          </c:tx>
          <c:invertIfNegative val="0"/>
          <c:cat>
            <c:numRef>
              <c:f>'NEW Report Graphs and Tables'!$C$279:$F$279</c:f>
              <c:numCache>
                <c:formatCode>General</c:formatCode>
                <c:ptCount val="4"/>
                <c:pt idx="0">
                  <c:v>1</c:v>
                </c:pt>
                <c:pt idx="1">
                  <c:v>10</c:v>
                </c:pt>
                <c:pt idx="2">
                  <c:v>50</c:v>
                </c:pt>
                <c:pt idx="3">
                  <c:v>100</c:v>
                </c:pt>
              </c:numCache>
            </c:numRef>
          </c:cat>
          <c:val>
            <c:numRef>
              <c:f>'NEW Report Graphs and Tables'!$C$285:$F$285</c:f>
              <c:numCache>
                <c:formatCode>0.0</c:formatCode>
                <c:ptCount val="4"/>
                <c:pt idx="0">
                  <c:v>8.5977365174884959</c:v>
                </c:pt>
                <c:pt idx="1">
                  <c:v>8.5977365174884977</c:v>
                </c:pt>
                <c:pt idx="2">
                  <c:v>1.4015496066115047</c:v>
                </c:pt>
                <c:pt idx="3">
                  <c:v>1.4015496066115047</c:v>
                </c:pt>
              </c:numCache>
            </c:numRef>
          </c:val>
        </c:ser>
        <c:dLbls>
          <c:showLegendKey val="0"/>
          <c:showVal val="0"/>
          <c:showCatName val="0"/>
          <c:showSerName val="0"/>
          <c:showPercent val="0"/>
          <c:showBubbleSize val="0"/>
        </c:dLbls>
        <c:gapWidth val="150"/>
        <c:overlap val="100"/>
        <c:axId val="108849024"/>
        <c:axId val="108199936"/>
      </c:barChart>
      <c:catAx>
        <c:axId val="108849024"/>
        <c:scaling>
          <c:orientation val="minMax"/>
        </c:scaling>
        <c:delete val="0"/>
        <c:axPos val="b"/>
        <c:title>
          <c:tx>
            <c:rich>
              <a:bodyPr/>
              <a:lstStyle/>
              <a:p>
                <a:pPr>
                  <a:defRPr/>
                </a:pPr>
                <a:r>
                  <a:rPr lang="en-US"/>
                  <a:t>Array Scale (#of Units)</a:t>
                </a:r>
              </a:p>
            </c:rich>
          </c:tx>
          <c:overlay val="0"/>
        </c:title>
        <c:numFmt formatCode="General" sourceLinked="1"/>
        <c:majorTickMark val="out"/>
        <c:minorTickMark val="none"/>
        <c:tickLblPos val="nextTo"/>
        <c:crossAx val="108199936"/>
        <c:crosses val="autoZero"/>
        <c:auto val="1"/>
        <c:lblAlgn val="ctr"/>
        <c:lblOffset val="100"/>
        <c:noMultiLvlLbl val="0"/>
      </c:catAx>
      <c:valAx>
        <c:axId val="108199936"/>
        <c:scaling>
          <c:orientation val="minMax"/>
        </c:scaling>
        <c:delete val="0"/>
        <c:axPos val="l"/>
        <c:majorGridlines/>
        <c:title>
          <c:tx>
            <c:rich>
              <a:bodyPr rot="-5400000" vert="horz"/>
              <a:lstStyle/>
              <a:p>
                <a:pPr>
                  <a:defRPr/>
                </a:pPr>
                <a:r>
                  <a:rPr lang="en-US"/>
                  <a:t>cents/kWh</a:t>
                </a:r>
              </a:p>
            </c:rich>
          </c:tx>
          <c:overlay val="0"/>
        </c:title>
        <c:numFmt formatCode="0.0" sourceLinked="1"/>
        <c:majorTickMark val="out"/>
        <c:minorTickMark val="none"/>
        <c:tickLblPos val="nextTo"/>
        <c:crossAx val="1088490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Graphs'!$B$2:$E$2</c:f>
              <c:numCache>
                <c:formatCode>General</c:formatCode>
                <c:ptCount val="4"/>
                <c:pt idx="0">
                  <c:v>1</c:v>
                </c:pt>
                <c:pt idx="1">
                  <c:v>10</c:v>
                </c:pt>
                <c:pt idx="2">
                  <c:v>50</c:v>
                </c:pt>
                <c:pt idx="3">
                  <c:v>100</c:v>
                </c:pt>
              </c:numCache>
            </c:numRef>
          </c:cat>
          <c:val>
            <c:numRef>
              <c:f>'Report Tables'!$B$22:$E$22</c:f>
              <c:numCache>
                <c:formatCode>"$"#,##0</c:formatCode>
                <c:ptCount val="4"/>
                <c:pt idx="0">
                  <c:v>10950</c:v>
                </c:pt>
                <c:pt idx="1">
                  <c:v>2270</c:v>
                </c:pt>
                <c:pt idx="2">
                  <c:v>560</c:v>
                </c:pt>
                <c:pt idx="3">
                  <c:v>300</c:v>
                </c:pt>
              </c:numCache>
            </c:numRef>
          </c:val>
        </c:ser>
        <c:ser>
          <c:idx val="1"/>
          <c:order val="1"/>
          <c:tx>
            <c:strRef>
              <c:f>'Report Tables'!$A$8</c:f>
              <c:strCache>
                <c:ptCount val="1"/>
                <c:pt idx="0">
                  <c:v>Infrastructure</c:v>
                </c:pt>
              </c:strCache>
            </c:strRef>
          </c:tx>
          <c:invertIfNegative val="0"/>
          <c:cat>
            <c:numRef>
              <c:f>'Report Graphs'!$B$2:$E$2</c:f>
              <c:numCache>
                <c:formatCode>General</c:formatCode>
                <c:ptCount val="4"/>
                <c:pt idx="0">
                  <c:v>1</c:v>
                </c:pt>
                <c:pt idx="1">
                  <c:v>10</c:v>
                </c:pt>
                <c:pt idx="2">
                  <c:v>50</c:v>
                </c:pt>
                <c:pt idx="3">
                  <c:v>100</c:v>
                </c:pt>
              </c:numCache>
            </c:numRef>
          </c:cat>
          <c:val>
            <c:numRef>
              <c:f>'Report Tables'!$B$23:$E$23</c:f>
              <c:numCache>
                <c:formatCode>"$"#,##0</c:formatCode>
                <c:ptCount val="4"/>
                <c:pt idx="0">
                  <c:v>3020</c:v>
                </c:pt>
                <c:pt idx="1">
                  <c:v>2110</c:v>
                </c:pt>
                <c:pt idx="2">
                  <c:v>790</c:v>
                </c:pt>
                <c:pt idx="3">
                  <c:v>920</c:v>
                </c:pt>
              </c:numCache>
            </c:numRef>
          </c:val>
        </c:ser>
        <c:ser>
          <c:idx val="3"/>
          <c:order val="2"/>
          <c:tx>
            <c:strRef>
              <c:f>'Report Tables'!$A$9</c:f>
              <c:strCache>
                <c:ptCount val="1"/>
                <c:pt idx="0">
                  <c:v>Mooring/Foundation</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Tables'!$B$24:$E$24</c:f>
              <c:numCache>
                <c:formatCode>"$"#,##0</c:formatCode>
                <c:ptCount val="4"/>
                <c:pt idx="0">
                  <c:v>3510</c:v>
                </c:pt>
                <c:pt idx="1">
                  <c:v>2310</c:v>
                </c:pt>
                <c:pt idx="2">
                  <c:v>2090</c:v>
                </c:pt>
                <c:pt idx="3">
                  <c:v>2020</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Tables'!$B$25:$E$25</c:f>
              <c:numCache>
                <c:formatCode>"$"#,##0</c:formatCode>
                <c:ptCount val="4"/>
                <c:pt idx="0">
                  <c:v>10590</c:v>
                </c:pt>
                <c:pt idx="1">
                  <c:v>7450</c:v>
                </c:pt>
                <c:pt idx="2">
                  <c:v>6600</c:v>
                </c:pt>
                <c:pt idx="3">
                  <c:v>6410</c:v>
                </c:pt>
              </c:numCache>
            </c:numRef>
          </c:val>
        </c:ser>
        <c:ser>
          <c:idx val="5"/>
          <c:order val="4"/>
          <c:tx>
            <c:strRef>
              <c:f>'Report Tables'!$A$11</c:f>
              <c:strCache>
                <c:ptCount val="1"/>
                <c:pt idx="0">
                  <c:v>Power Conversion Chain</c:v>
                </c:pt>
              </c:strCache>
            </c:strRef>
          </c:tx>
          <c:invertIfNegative val="0"/>
          <c:cat>
            <c:numRef>
              <c:f>'Report Graphs'!$B$2:$E$2</c:f>
              <c:numCache>
                <c:formatCode>General</c:formatCode>
                <c:ptCount val="4"/>
                <c:pt idx="0">
                  <c:v>1</c:v>
                </c:pt>
                <c:pt idx="1">
                  <c:v>10</c:v>
                </c:pt>
                <c:pt idx="2">
                  <c:v>50</c:v>
                </c:pt>
                <c:pt idx="3">
                  <c:v>100</c:v>
                </c:pt>
              </c:numCache>
            </c:numRef>
          </c:cat>
          <c:val>
            <c:numRef>
              <c:f>'Report Tables'!$B$26:$E$26</c:f>
              <c:numCache>
                <c:formatCode>"$"#,##0</c:formatCode>
                <c:ptCount val="4"/>
                <c:pt idx="0">
                  <c:v>1630</c:v>
                </c:pt>
                <c:pt idx="1">
                  <c:v>1310</c:v>
                </c:pt>
                <c:pt idx="2">
                  <c:v>1150</c:v>
                </c:pt>
                <c:pt idx="3">
                  <c:v>1090</c:v>
                </c:pt>
              </c:numCache>
            </c:numRef>
          </c:val>
        </c:ser>
        <c:ser>
          <c:idx val="2"/>
          <c:order val="5"/>
          <c:tx>
            <c:strRef>
              <c:f>'Report Tables'!$A$12</c:f>
              <c:strCache>
                <c:ptCount val="1"/>
                <c:pt idx="0">
                  <c:v>Subsystem Integration &amp; Profit Margin</c:v>
                </c:pt>
              </c:strCache>
            </c:strRef>
          </c:tx>
          <c:invertIfNegative val="0"/>
          <c:cat>
            <c:numRef>
              <c:f>'Report Graphs'!$B$2:$E$2</c:f>
              <c:numCache>
                <c:formatCode>General</c:formatCode>
                <c:ptCount val="4"/>
                <c:pt idx="0">
                  <c:v>1</c:v>
                </c:pt>
                <c:pt idx="1">
                  <c:v>10</c:v>
                </c:pt>
                <c:pt idx="2">
                  <c:v>50</c:v>
                </c:pt>
                <c:pt idx="3">
                  <c:v>100</c:v>
                </c:pt>
              </c:numCache>
            </c:numRef>
          </c:cat>
          <c:val>
            <c:numRef>
              <c:f>'Report Tables'!$B$27:$E$27</c:f>
              <c:numCache>
                <c:formatCode>"$"#,##0</c:formatCode>
                <c:ptCount val="4"/>
                <c:pt idx="0">
                  <c:v>1220</c:v>
                </c:pt>
                <c:pt idx="1">
                  <c:v>880</c:v>
                </c:pt>
                <c:pt idx="2">
                  <c:v>770</c:v>
                </c:pt>
                <c:pt idx="3">
                  <c:v>750</c:v>
                </c:pt>
              </c:numCache>
            </c:numRef>
          </c:val>
        </c:ser>
        <c:ser>
          <c:idx val="6"/>
          <c:order val="6"/>
          <c:tx>
            <c:strRef>
              <c:f>'Report Tables'!$A$13</c:f>
              <c:strCache>
                <c:ptCount val="1"/>
                <c:pt idx="0">
                  <c:v>Installation</c:v>
                </c:pt>
              </c:strCache>
            </c:strRef>
          </c:tx>
          <c:invertIfNegative val="0"/>
          <c:cat>
            <c:numRef>
              <c:f>'Report Graphs'!$B$2:$E$2</c:f>
              <c:numCache>
                <c:formatCode>General</c:formatCode>
                <c:ptCount val="4"/>
                <c:pt idx="0">
                  <c:v>1</c:v>
                </c:pt>
                <c:pt idx="1">
                  <c:v>10</c:v>
                </c:pt>
                <c:pt idx="2">
                  <c:v>50</c:v>
                </c:pt>
                <c:pt idx="3">
                  <c:v>100</c:v>
                </c:pt>
              </c:numCache>
            </c:numRef>
          </c:cat>
          <c:val>
            <c:numRef>
              <c:f>'Report Tables'!$B$28:$E$28</c:f>
              <c:numCache>
                <c:formatCode>"$"#,##0</c:formatCode>
                <c:ptCount val="4"/>
                <c:pt idx="0">
                  <c:v>16400</c:v>
                </c:pt>
                <c:pt idx="1">
                  <c:v>2520</c:v>
                </c:pt>
                <c:pt idx="2">
                  <c:v>1200</c:v>
                </c:pt>
                <c:pt idx="3">
                  <c:v>1050</c:v>
                </c:pt>
              </c:numCache>
            </c:numRef>
          </c:val>
        </c:ser>
        <c:ser>
          <c:idx val="7"/>
          <c:order val="7"/>
          <c:tx>
            <c:strRef>
              <c:f>'Report Tables'!$A$14</c:f>
              <c:strCache>
                <c:ptCount val="1"/>
                <c:pt idx="0">
                  <c:v>Contingency</c:v>
                </c:pt>
              </c:strCache>
            </c:strRef>
          </c:tx>
          <c:invertIfNegative val="0"/>
          <c:cat>
            <c:numRef>
              <c:f>'Report Graphs'!$B$2:$E$2</c:f>
              <c:numCache>
                <c:formatCode>General</c:formatCode>
                <c:ptCount val="4"/>
                <c:pt idx="0">
                  <c:v>1</c:v>
                </c:pt>
                <c:pt idx="1">
                  <c:v>10</c:v>
                </c:pt>
                <c:pt idx="2">
                  <c:v>50</c:v>
                </c:pt>
                <c:pt idx="3">
                  <c:v>100</c:v>
                </c:pt>
              </c:numCache>
            </c:numRef>
          </c:cat>
          <c:val>
            <c:numRef>
              <c:f>'Report Tables'!$B$29:$E$29</c:f>
              <c:numCache>
                <c:formatCode>"$"#,##0</c:formatCode>
                <c:ptCount val="4"/>
                <c:pt idx="0">
                  <c:v>4730</c:v>
                </c:pt>
                <c:pt idx="1">
                  <c:v>1890</c:v>
                </c:pt>
                <c:pt idx="2">
                  <c:v>1320</c:v>
                </c:pt>
                <c:pt idx="3">
                  <c:v>1250</c:v>
                </c:pt>
              </c:numCache>
            </c:numRef>
          </c:val>
        </c:ser>
        <c:dLbls>
          <c:showLegendKey val="0"/>
          <c:showVal val="0"/>
          <c:showCatName val="0"/>
          <c:showSerName val="0"/>
          <c:showPercent val="0"/>
          <c:showBubbleSize val="0"/>
        </c:dLbls>
        <c:gapWidth val="150"/>
        <c:overlap val="100"/>
        <c:axId val="102549376"/>
        <c:axId val="102559744"/>
      </c:barChart>
      <c:catAx>
        <c:axId val="102549376"/>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102559744"/>
        <c:crosses val="autoZero"/>
        <c:auto val="1"/>
        <c:lblAlgn val="ctr"/>
        <c:lblOffset val="100"/>
        <c:noMultiLvlLbl val="0"/>
      </c:catAx>
      <c:valAx>
        <c:axId val="102559744"/>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Capex ($/kW)</a:t>
                </a:r>
              </a:p>
            </c:rich>
          </c:tx>
          <c:overlay val="0"/>
        </c:title>
        <c:numFmt formatCode="&quot;$&quot;#,##0" sourceLinked="1"/>
        <c:majorTickMark val="out"/>
        <c:minorTickMark val="none"/>
        <c:tickLblPos val="nextTo"/>
        <c:crossAx val="102549376"/>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000000000000133" l="0.70000000000000062" r="0.70000000000000062" t="0.750000000000001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'NEW Report Graphs and Tables'!$C$309</c:f>
              <c:strCache>
                <c:ptCount val="1"/>
                <c:pt idx="0">
                  <c:v>1</c:v>
                </c:pt>
              </c:strCache>
            </c:strRef>
          </c:tx>
          <c:dLbls>
            <c:showLegendKey val="0"/>
            <c:showVal val="0"/>
            <c:showCatName val="0"/>
            <c:showSerName val="0"/>
            <c:showPercent val="1"/>
            <c:showBubbleSize val="0"/>
            <c:showLeaderLines val="1"/>
          </c:dLbls>
          <c:cat>
            <c:strRef>
              <c:f>'NEW Report Graphs and Tables'!$B$310:$B$318</c:f>
              <c:strCache>
                <c:ptCount val="9"/>
                <c:pt idx="0">
                  <c:v>Development</c:v>
                </c:pt>
                <c:pt idx="1">
                  <c:v>Infrastructure</c:v>
                </c:pt>
                <c:pt idx="2">
                  <c:v>Mooring/Foundation</c:v>
                </c:pt>
                <c:pt idx="3">
                  <c:v>Device Structural Components</c:v>
                </c:pt>
                <c:pt idx="4">
                  <c:v>PCC</c:v>
                </c:pt>
                <c:pt idx="5">
                  <c:v>Subsystem Integration &amp; Profit Margin</c:v>
                </c:pt>
                <c:pt idx="6">
                  <c:v>Installation</c:v>
                </c:pt>
                <c:pt idx="7">
                  <c:v>Contingency</c:v>
                </c:pt>
                <c:pt idx="8">
                  <c:v>Annualized OPEX</c:v>
                </c:pt>
              </c:strCache>
            </c:strRef>
          </c:cat>
          <c:val>
            <c:numRef>
              <c:f>'NEW Report Graphs and Tables'!$C$310:$C$318</c:f>
              <c:numCache>
                <c:formatCode>"$"#,##0.00</c:formatCode>
                <c:ptCount val="9"/>
                <c:pt idx="0">
                  <c:v>0.48365430775427287</c:v>
                </c:pt>
                <c:pt idx="1">
                  <c:v>0.13322798441649231</c:v>
                </c:pt>
                <c:pt idx="2">
                  <c:v>0.15494039975454757</c:v>
                </c:pt>
                <c:pt idx="3">
                  <c:v>0.46792169657779498</c:v>
                </c:pt>
                <c:pt idx="4">
                  <c:v>7.2099013193420991E-2</c:v>
                </c:pt>
                <c:pt idx="5">
                  <c:v>5.4002070977121598E-2</c:v>
                </c:pt>
                <c:pt idx="6">
                  <c:v>0.72431037992798752</c:v>
                </c:pt>
                <c:pt idx="7">
                  <c:v>0.20901558526016381</c:v>
                </c:pt>
                <c:pt idx="8">
                  <c:v>1.295373592106926</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'NEW Report Graphs and Tables'!$D$309</c:f>
              <c:strCache>
                <c:ptCount val="1"/>
                <c:pt idx="0">
                  <c:v>10</c:v>
                </c:pt>
              </c:strCache>
            </c:strRef>
          </c:tx>
          <c:dLbls>
            <c:showLegendKey val="0"/>
            <c:showVal val="0"/>
            <c:showCatName val="0"/>
            <c:showSerName val="0"/>
            <c:showPercent val="1"/>
            <c:showBubbleSize val="0"/>
            <c:showLeaderLines val="1"/>
          </c:dLbls>
          <c:cat>
            <c:strRef>
              <c:f>'NEW Report Graphs and Tables'!$B$310:$B$318</c:f>
              <c:strCache>
                <c:ptCount val="9"/>
                <c:pt idx="0">
                  <c:v>Development</c:v>
                </c:pt>
                <c:pt idx="1">
                  <c:v>Infrastructure</c:v>
                </c:pt>
                <c:pt idx="2">
                  <c:v>Mooring/Foundation</c:v>
                </c:pt>
                <c:pt idx="3">
                  <c:v>Device Structural Components</c:v>
                </c:pt>
                <c:pt idx="4">
                  <c:v>PCC</c:v>
                </c:pt>
                <c:pt idx="5">
                  <c:v>Subsystem Integration &amp; Profit Margin</c:v>
                </c:pt>
                <c:pt idx="6">
                  <c:v>Installation</c:v>
                </c:pt>
                <c:pt idx="7">
                  <c:v>Contingency</c:v>
                </c:pt>
                <c:pt idx="8">
                  <c:v>Annualized OPEX</c:v>
                </c:pt>
              </c:strCache>
            </c:strRef>
          </c:cat>
          <c:val>
            <c:numRef>
              <c:f>'NEW Report Graphs and Tables'!#REF!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'NEW Report Graphs and Tables'!$E$309</c:f>
              <c:strCache>
                <c:ptCount val="1"/>
                <c:pt idx="0">
                  <c:v>50</c:v>
                </c:pt>
              </c:strCache>
            </c:strRef>
          </c:tx>
          <c:dLbls>
            <c:showLegendKey val="0"/>
            <c:showVal val="0"/>
            <c:showCatName val="0"/>
            <c:showSerName val="0"/>
            <c:showPercent val="1"/>
            <c:showBubbleSize val="0"/>
            <c:showLeaderLines val="1"/>
          </c:dLbls>
          <c:cat>
            <c:strRef>
              <c:f>'NEW Report Graphs and Tables'!$B$310:$B$318</c:f>
              <c:strCache>
                <c:ptCount val="9"/>
                <c:pt idx="0">
                  <c:v>Development</c:v>
                </c:pt>
                <c:pt idx="1">
                  <c:v>Infrastructure</c:v>
                </c:pt>
                <c:pt idx="2">
                  <c:v>Mooring/Foundation</c:v>
                </c:pt>
                <c:pt idx="3">
                  <c:v>Device Structural Components</c:v>
                </c:pt>
                <c:pt idx="4">
                  <c:v>PCC</c:v>
                </c:pt>
                <c:pt idx="5">
                  <c:v>Subsystem Integration &amp; Profit Margin</c:v>
                </c:pt>
                <c:pt idx="6">
                  <c:v>Installation</c:v>
                </c:pt>
                <c:pt idx="7">
                  <c:v>Contingency</c:v>
                </c:pt>
                <c:pt idx="8">
                  <c:v>Annualized OPEX</c:v>
                </c:pt>
              </c:strCache>
            </c:strRef>
          </c:cat>
          <c:val>
            <c:numRef>
              <c:f>'NEW Report Graphs and Tables'!$D$310:$D$318</c:f>
              <c:numCache>
                <c:formatCode>"$"#,##0.00</c:formatCode>
                <c:ptCount val="9"/>
                <c:pt idx="0">
                  <c:v>0.10040592045044025</c:v>
                </c:pt>
                <c:pt idx="1">
                  <c:v>9.326449258747456E-2</c:v>
                </c:pt>
                <c:pt idx="2">
                  <c:v>0.10211785639379226</c:v>
                </c:pt>
                <c:pt idx="3">
                  <c:v>0.32900180003784762</c:v>
                </c:pt>
                <c:pt idx="4">
                  <c:v>5.7902528396430931E-2</c:v>
                </c:pt>
                <c:pt idx="5">
                  <c:v>3.8690432843427859E-2</c:v>
                </c:pt>
                <c:pt idx="6">
                  <c:v>0.11133354601024631</c:v>
                </c:pt>
                <c:pt idx="7">
                  <c:v>8.3271657671965968E-2</c:v>
                </c:pt>
                <c:pt idx="8">
                  <c:v>0.52421857106230907</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'NEW Report Graphs and Tables'!$F$309</c:f>
              <c:strCache>
                <c:ptCount val="1"/>
                <c:pt idx="0">
                  <c:v>100</c:v>
                </c:pt>
              </c:strCache>
            </c:strRef>
          </c:tx>
          <c:dLbls>
            <c:showLegendKey val="0"/>
            <c:showVal val="0"/>
            <c:showCatName val="0"/>
            <c:showSerName val="0"/>
            <c:showPercent val="1"/>
            <c:showBubbleSize val="0"/>
            <c:showLeaderLines val="1"/>
          </c:dLbls>
          <c:cat>
            <c:strRef>
              <c:f>'NEW Report Graphs and Tables'!$B$310:$B$318</c:f>
              <c:strCache>
                <c:ptCount val="9"/>
                <c:pt idx="0">
                  <c:v>Development</c:v>
                </c:pt>
                <c:pt idx="1">
                  <c:v>Infrastructure</c:v>
                </c:pt>
                <c:pt idx="2">
                  <c:v>Mooring/Foundation</c:v>
                </c:pt>
                <c:pt idx="3">
                  <c:v>Device Structural Components</c:v>
                </c:pt>
                <c:pt idx="4">
                  <c:v>PCC</c:v>
                </c:pt>
                <c:pt idx="5">
                  <c:v>Subsystem Integration &amp; Profit Margin</c:v>
                </c:pt>
                <c:pt idx="6">
                  <c:v>Installation</c:v>
                </c:pt>
                <c:pt idx="7">
                  <c:v>Contingency</c:v>
                </c:pt>
                <c:pt idx="8">
                  <c:v>Annualized OPEX</c:v>
                </c:pt>
              </c:strCache>
            </c:strRef>
          </c:cat>
          <c:val>
            <c:numRef>
              <c:f>'NEW Report Graphs and Tables'!#REF!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'NEW Report Graphs and Tables'!$B$4</c:f>
              <c:strCache>
                <c:ptCount val="1"/>
                <c:pt idx="0">
                  <c:v>Surge Frame </c:v>
                </c:pt>
              </c:strCache>
            </c:strRef>
          </c:tx>
          <c:invertIfNegative val="0"/>
          <c:cat>
            <c:numRef>
              <c:f>'NEW Report Graphs and Tables'!$C$3:$F$3</c:f>
              <c:numCache>
                <c:formatCode>General</c:formatCode>
                <c:ptCount val="4"/>
                <c:pt idx="0">
                  <c:v>1</c:v>
                </c:pt>
                <c:pt idx="1">
                  <c:v>10</c:v>
                </c:pt>
                <c:pt idx="2">
                  <c:v>50</c:v>
                </c:pt>
                <c:pt idx="3">
                  <c:v>100</c:v>
                </c:pt>
              </c:numCache>
            </c:numRef>
          </c:cat>
          <c:val>
            <c:numRef>
              <c:f>'NEW Report Graphs and Tables'!$C$4:$F$4</c:f>
              <c:numCache>
                <c:formatCode>"$"#,##0</c:formatCode>
                <c:ptCount val="4"/>
                <c:pt idx="0">
                  <c:v>3572.1819140668372</c:v>
                </c:pt>
                <c:pt idx="1">
                  <c:v>2511.6473298545579</c:v>
                </c:pt>
                <c:pt idx="2">
                  <c:v>2224.9170089930053</c:v>
                </c:pt>
                <c:pt idx="3">
                  <c:v>2161.505495725547</c:v>
                </c:pt>
              </c:numCache>
            </c:numRef>
          </c:val>
        </c:ser>
        <c:ser>
          <c:idx val="1"/>
          <c:order val="1"/>
          <c:tx>
            <c:strRef>
              <c:f>'NEW Report Graphs and Tables'!$B$6</c:f>
              <c:strCache>
                <c:ptCount val="1"/>
                <c:pt idx="0">
                  <c:v>Fiberglass Tubing</c:v>
                </c:pt>
              </c:strCache>
            </c:strRef>
          </c:tx>
          <c:invertIfNegative val="0"/>
          <c:val>
            <c:numRef>
              <c:f>'NEW Report Graphs and Tables'!$C$6:$F$6</c:f>
              <c:numCache>
                <c:formatCode>"$"#,##0</c:formatCode>
                <c:ptCount val="4"/>
                <c:pt idx="0">
                  <c:v>1956.5588009326082</c:v>
                </c:pt>
                <c:pt idx="1">
                  <c:v>1375.6818119240593</c:v>
                </c:pt>
                <c:pt idx="2">
                  <c:v>1218.6336138558897</c:v>
                </c:pt>
                <c:pt idx="3">
                  <c:v>1183.9018008215833</c:v>
                </c:pt>
              </c:numCache>
            </c:numRef>
          </c:val>
        </c:ser>
        <c:ser>
          <c:idx val="2"/>
          <c:order val="2"/>
          <c:tx>
            <c:strRef>
              <c:f>'NEW Report Graphs and Tables'!$B$7</c:f>
              <c:strCache>
                <c:ptCount val="1"/>
                <c:pt idx="0">
                  <c:v>Upright Support Structures - Side (2)</c:v>
                </c:pt>
              </c:strCache>
            </c:strRef>
          </c:tx>
          <c:invertIfNegative val="0"/>
          <c:val>
            <c:numRef>
              <c:f>'NEW Report Graphs and Tables'!$C$7:$F$7</c:f>
              <c:numCache>
                <c:formatCode>"$"#,##0</c:formatCode>
                <c:ptCount val="4"/>
                <c:pt idx="0">
                  <c:v>1783.3139119573664</c:v>
                </c:pt>
                <c:pt idx="1">
                  <c:v>1253.8710885977573</c:v>
                </c:pt>
                <c:pt idx="2">
                  <c:v>1110.7288347951592</c:v>
                </c:pt>
                <c:pt idx="3">
                  <c:v>1079.0723748195846</c:v>
                </c:pt>
              </c:numCache>
            </c:numRef>
          </c:val>
        </c:ser>
        <c:ser>
          <c:idx val="3"/>
          <c:order val="3"/>
          <c:tx>
            <c:strRef>
              <c:f>'NEW Report Graphs and Tables'!$B$8</c:f>
              <c:strCache>
                <c:ptCount val="1"/>
                <c:pt idx="0">
                  <c:v>Upright Support Structures - Center</c:v>
                </c:pt>
              </c:strCache>
            </c:strRef>
          </c:tx>
          <c:invertIfNegative val="0"/>
          <c:val>
            <c:numRef>
              <c:f>'NEW Report Graphs and Tables'!$C$8:$F$8</c:f>
              <c:numCache>
                <c:formatCode>"$"#,##0</c:formatCode>
                <c:ptCount val="4"/>
                <c:pt idx="0">
                  <c:v>731.05118241367825</c:v>
                </c:pt>
                <c:pt idx="1">
                  <c:v>514.01154657488621</c:v>
                </c:pt>
                <c:pt idx="2">
                  <c:v>455.33185300321969</c:v>
                </c:pt>
                <c:pt idx="3">
                  <c:v>442.35461307871657</c:v>
                </c:pt>
              </c:numCache>
            </c:numRef>
          </c:val>
        </c:ser>
        <c:ser>
          <c:idx val="4"/>
          <c:order val="4"/>
          <c:tx>
            <c:strRef>
              <c:f>'NEW Report Graphs and Tables'!$B$9</c:f>
              <c:strCache>
                <c:ptCount val="1"/>
                <c:pt idx="0">
                  <c:v>Torque Tube</c:v>
                </c:pt>
              </c:strCache>
            </c:strRef>
          </c:tx>
          <c:invertIfNegative val="0"/>
          <c:val>
            <c:numRef>
              <c:f>'NEW Report Graphs and Tables'!$C$9:$F$9</c:f>
              <c:numCache>
                <c:formatCode>"$"#,##0</c:formatCode>
                <c:ptCount val="4"/>
                <c:pt idx="0">
                  <c:v>2551.558510047741</c:v>
                </c:pt>
                <c:pt idx="1">
                  <c:v>1794.0338070389698</c:v>
                </c:pt>
                <c:pt idx="2">
                  <c:v>1589.226434995004</c:v>
                </c:pt>
                <c:pt idx="3">
                  <c:v>1543.9324969468191</c:v>
                </c:pt>
              </c:numCache>
            </c:numRef>
          </c:val>
        </c:ser>
        <c:dLbls>
          <c:showLegendKey val="0"/>
          <c:showVal val="0"/>
          <c:showCatName val="0"/>
          <c:showSerName val="0"/>
          <c:showPercent val="0"/>
          <c:showBubbleSize val="0"/>
        </c:dLbls>
        <c:gapWidth val="150"/>
        <c:overlap val="100"/>
        <c:axId val="108948480"/>
        <c:axId val="108958848"/>
      </c:barChart>
      <c:catAx>
        <c:axId val="108948480"/>
        <c:scaling>
          <c:orientation val="minMax"/>
        </c:scaling>
        <c:delete val="0"/>
        <c:axPos val="b"/>
        <c:title>
          <c:tx>
            <c:rich>
              <a:bodyPr/>
              <a:lstStyle/>
              <a:p>
                <a:pPr>
                  <a:defRPr/>
                </a:pPr>
                <a:r>
                  <a:rPr lang="en-US"/>
                  <a:t>Array Scale [# of Units]</a:t>
                </a:r>
              </a:p>
            </c:rich>
          </c:tx>
          <c:overlay val="0"/>
        </c:title>
        <c:numFmt formatCode="General" sourceLinked="1"/>
        <c:majorTickMark val="out"/>
        <c:minorTickMark val="none"/>
        <c:tickLblPos val="nextTo"/>
        <c:crossAx val="108958848"/>
        <c:crosses val="autoZero"/>
        <c:auto val="1"/>
        <c:lblAlgn val="ctr"/>
        <c:lblOffset val="100"/>
        <c:noMultiLvlLbl val="0"/>
      </c:catAx>
      <c:valAx>
        <c:axId val="108958848"/>
        <c:scaling>
          <c:orientation val="minMax"/>
        </c:scaling>
        <c:delete val="0"/>
        <c:axPos val="l"/>
        <c:majorGridlines/>
        <c:title>
          <c:tx>
            <c:rich>
              <a:bodyPr rot="-5400000" vert="horz"/>
              <a:lstStyle/>
              <a:p>
                <a:pPr>
                  <a:defRPr/>
                </a:pPr>
                <a:r>
                  <a:rPr lang="en-US"/>
                  <a:t>Structure</a:t>
                </a:r>
                <a:r>
                  <a:rPr lang="en-US" baseline="0"/>
                  <a:t> Component Cost [$/kW]</a:t>
                </a:r>
              </a:p>
            </c:rich>
          </c:tx>
          <c:overlay val="0"/>
        </c:title>
        <c:numFmt formatCode="&quot;$&quot;#,##0" sourceLinked="1"/>
        <c:majorTickMark val="out"/>
        <c:minorTickMark val="none"/>
        <c:tickLblPos val="nextTo"/>
        <c:crossAx val="1089484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PCC Hydraulic Component Breakdown</a:t>
            </a:r>
          </a:p>
        </c:rich>
      </c:tx>
      <c:overlay val="0"/>
    </c:title>
    <c:autoTitleDeleted val="0"/>
    <c:plotArea>
      <c:layout/>
      <c:pieChart>
        <c:varyColors val="1"/>
        <c:ser>
          <c:idx val="0"/>
          <c:order val="0"/>
          <c:dLbls>
            <c:showLegendKey val="0"/>
            <c:showVal val="0"/>
            <c:showCatName val="0"/>
            <c:showSerName val="0"/>
            <c:showPercent val="1"/>
            <c:showBubbleSize val="0"/>
            <c:showLeaderLines val="1"/>
          </c:dLbls>
          <c:cat>
            <c:strRef>
              <c:f>'NEW Report Graphs and Tables'!$B$62:$B$74</c:f>
              <c:strCache>
                <c:ptCount val="13"/>
                <c:pt idx="0">
                  <c:v>Reservoir</c:v>
                </c:pt>
                <c:pt idx="1">
                  <c:v>Hydraulic Cylinder</c:v>
                </c:pt>
                <c:pt idx="2">
                  <c:v>Plumbing (Including Flex Lines)</c:v>
                </c:pt>
                <c:pt idx="3">
                  <c:v>High Pressure Accumulators</c:v>
                </c:pt>
                <c:pt idx="4">
                  <c:v>Fluid</c:v>
                </c:pt>
                <c:pt idx="5">
                  <c:v>Hydraulic Motor</c:v>
                </c:pt>
                <c:pt idx="6">
                  <c:v>Check Valves </c:v>
                </c:pt>
                <c:pt idx="7">
                  <c:v>Solenoid Valves </c:v>
                </c:pt>
                <c:pt idx="8">
                  <c:v>Low Pressure Filter</c:v>
                </c:pt>
                <c:pt idx="9">
                  <c:v>High Pressure Filter</c:v>
                </c:pt>
                <c:pt idx="10">
                  <c:v>Valve Subplate</c:v>
                </c:pt>
                <c:pt idx="11">
                  <c:v>Pressure Transducers</c:v>
                </c:pt>
                <c:pt idx="12">
                  <c:v>Releif Valves</c:v>
                </c:pt>
              </c:strCache>
            </c:strRef>
          </c:cat>
          <c:val>
            <c:numRef>
              <c:f>'NEW Report Graphs and Tables'!$D$62:$D$74</c:f>
              <c:numCache>
                <c:formatCode>_("$"* #,##0.00_);_("$"* \(#,##0.00\);_("$"* "-"??_);_(@_)</c:formatCode>
                <c:ptCount val="13"/>
                <c:pt idx="0">
                  <c:v>72436.479128856619</c:v>
                </c:pt>
                <c:pt idx="1">
                  <c:v>56000</c:v>
                </c:pt>
                <c:pt idx="2">
                  <c:v>42000</c:v>
                </c:pt>
                <c:pt idx="3">
                  <c:v>38868</c:v>
                </c:pt>
                <c:pt idx="4">
                  <c:v>15500</c:v>
                </c:pt>
                <c:pt idx="5">
                  <c:v>14500</c:v>
                </c:pt>
                <c:pt idx="6">
                  <c:v>9200</c:v>
                </c:pt>
                <c:pt idx="7">
                  <c:v>3345.8041958041958</c:v>
                </c:pt>
                <c:pt idx="8">
                  <c:v>2900</c:v>
                </c:pt>
                <c:pt idx="9">
                  <c:v>2850</c:v>
                </c:pt>
                <c:pt idx="10">
                  <c:v>2457.3426573426573</c:v>
                </c:pt>
                <c:pt idx="11">
                  <c:v>788.11188811188811</c:v>
                </c:pt>
                <c:pt idx="12">
                  <c:v>712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Ultimate Holding</a:t>
            </a:r>
            <a:r>
              <a:rPr lang="en-US" baseline="0"/>
              <a:t> Capacit</a:t>
            </a:r>
            <a:endParaRPr lang="en-US"/>
          </a:p>
        </c:rich>
      </c:tx>
      <c:overlay val="0"/>
    </c:title>
    <c:autoTitleDeleted val="0"/>
    <c:plotArea>
      <c:layout/>
      <c:scatterChart>
        <c:scatterStyle val="smoothMarker"/>
        <c:varyColors val="0"/>
        <c:ser>
          <c:idx val="0"/>
          <c:order val="0"/>
          <c:tx>
            <c:strRef>
              <c:f>'1.3'!$L$60</c:f>
              <c:strCache>
                <c:ptCount val="1"/>
                <c:pt idx="0">
                  <c:v>UHC soft clay [mT]</c:v>
                </c:pt>
              </c:strCache>
            </c:strRef>
          </c:tx>
          <c:xVal>
            <c:numRef>
              <c:f>'1.3'!$K$61:$K$64</c:f>
              <c:numCache>
                <c:formatCode>0.0</c:formatCode>
                <c:ptCount val="4"/>
                <c:pt idx="0">
                  <c:v>1</c:v>
                </c:pt>
                <c:pt idx="1">
                  <c:v>5</c:v>
                </c:pt>
                <c:pt idx="2">
                  <c:v>10</c:v>
                </c:pt>
                <c:pt idx="3">
                  <c:v>20</c:v>
                </c:pt>
              </c:numCache>
            </c:numRef>
          </c:xVal>
          <c:yVal>
            <c:numRef>
              <c:f>'1.3'!$L$61:$L$64</c:f>
              <c:numCache>
                <c:formatCode>0</c:formatCode>
                <c:ptCount val="4"/>
                <c:pt idx="0">
                  <c:v>60</c:v>
                </c:pt>
                <c:pt idx="1">
                  <c:v>300</c:v>
                </c:pt>
                <c:pt idx="2">
                  <c:v>600</c:v>
                </c:pt>
                <c:pt idx="3">
                  <c:v>1200</c:v>
                </c:pt>
              </c:numCache>
            </c:numRef>
          </c:yVal>
          <c:smooth val="1"/>
        </c:ser>
        <c:ser>
          <c:idx val="1"/>
          <c:order val="1"/>
          <c:tx>
            <c:strRef>
              <c:f>'1.3'!$M$60</c:f>
              <c:strCache>
                <c:ptCount val="1"/>
                <c:pt idx="0">
                  <c:v>medium clay [mT]</c:v>
                </c:pt>
              </c:strCache>
            </c:strRef>
          </c:tx>
          <c:xVal>
            <c:numRef>
              <c:f>'1.3'!$K$61:$K$64</c:f>
              <c:numCache>
                <c:formatCode>0.0</c:formatCode>
                <c:ptCount val="4"/>
                <c:pt idx="0">
                  <c:v>1</c:v>
                </c:pt>
                <c:pt idx="1">
                  <c:v>5</c:v>
                </c:pt>
                <c:pt idx="2">
                  <c:v>10</c:v>
                </c:pt>
                <c:pt idx="3">
                  <c:v>20</c:v>
                </c:pt>
              </c:numCache>
            </c:numRef>
          </c:xVal>
          <c:yVal>
            <c:numRef>
              <c:f>'1.3'!$M$61:$M$64</c:f>
              <c:numCache>
                <c:formatCode>0</c:formatCode>
                <c:ptCount val="4"/>
                <c:pt idx="0">
                  <c:v>130</c:v>
                </c:pt>
                <c:pt idx="1">
                  <c:v>620</c:v>
                </c:pt>
                <c:pt idx="2">
                  <c:v>1230</c:v>
                </c:pt>
                <c:pt idx="3">
                  <c:v>2500</c:v>
                </c:pt>
              </c:numCache>
            </c:numRef>
          </c:yVal>
          <c:smooth val="1"/>
        </c:ser>
        <c:ser>
          <c:idx val="2"/>
          <c:order val="2"/>
          <c:tx>
            <c:strRef>
              <c:f>'1.3'!$N$60</c:f>
              <c:strCache>
                <c:ptCount val="1"/>
                <c:pt idx="0">
                  <c:v>stiff clay [mT]</c:v>
                </c:pt>
              </c:strCache>
            </c:strRef>
          </c:tx>
          <c:xVal>
            <c:numRef>
              <c:f>'1.3'!$K$61:$K$64</c:f>
              <c:numCache>
                <c:formatCode>0.0</c:formatCode>
                <c:ptCount val="4"/>
                <c:pt idx="0">
                  <c:v>1</c:v>
                </c:pt>
                <c:pt idx="1">
                  <c:v>5</c:v>
                </c:pt>
                <c:pt idx="2">
                  <c:v>10</c:v>
                </c:pt>
                <c:pt idx="3">
                  <c:v>20</c:v>
                </c:pt>
              </c:numCache>
            </c:numRef>
          </c:xVal>
          <c:yVal>
            <c:numRef>
              <c:f>'1.3'!$N$61:$N$64</c:f>
              <c:numCache>
                <c:formatCode>0</c:formatCode>
                <c:ptCount val="4"/>
                <c:pt idx="0">
                  <c:v>270</c:v>
                </c:pt>
                <c:pt idx="1">
                  <c:v>1400</c:v>
                </c:pt>
                <c:pt idx="2">
                  <c:v>2600</c:v>
                </c:pt>
                <c:pt idx="3">
                  <c:v>5000</c:v>
                </c:pt>
              </c:numCache>
            </c:numRef>
          </c:yVal>
          <c:smooth val="1"/>
        </c:ser>
        <c:dLbls>
          <c:showLegendKey val="0"/>
          <c:showVal val="0"/>
          <c:showCatName val="0"/>
          <c:showSerName val="0"/>
          <c:showPercent val="0"/>
          <c:showBubbleSize val="0"/>
        </c:dLbls>
        <c:axId val="109501440"/>
        <c:axId val="109139072"/>
      </c:scatterChart>
      <c:valAx>
        <c:axId val="109501440"/>
        <c:scaling>
          <c:orientation val="minMax"/>
        </c:scaling>
        <c:delete val="0"/>
        <c:axPos val="b"/>
        <c:title>
          <c:tx>
            <c:rich>
              <a:bodyPr/>
              <a:lstStyle/>
              <a:p>
                <a:pPr>
                  <a:defRPr/>
                </a:pPr>
                <a:r>
                  <a:rPr lang="en-US"/>
                  <a:t>Weight [tonnes]</a:t>
                </a:r>
              </a:p>
            </c:rich>
          </c:tx>
          <c:layout>
            <c:manualLayout>
              <c:xMode val="edge"/>
              <c:yMode val="edge"/>
              <c:x val="0.22674015748031492"/>
              <c:y val="0.88331000291630213"/>
            </c:manualLayout>
          </c:layout>
          <c:overlay val="0"/>
        </c:title>
        <c:numFmt formatCode="0.0" sourceLinked="1"/>
        <c:majorTickMark val="none"/>
        <c:minorTickMark val="none"/>
        <c:tickLblPos val="nextTo"/>
        <c:crossAx val="109139072"/>
        <c:crosses val="autoZero"/>
        <c:crossBetween val="midCat"/>
      </c:valAx>
      <c:valAx>
        <c:axId val="109139072"/>
        <c:scaling>
          <c:orientation val="minMax"/>
        </c:scaling>
        <c:delete val="0"/>
        <c:axPos val="l"/>
        <c:majorGridlines/>
        <c:title>
          <c:tx>
            <c:rich>
              <a:bodyPr/>
              <a:lstStyle/>
              <a:p>
                <a:pPr>
                  <a:defRPr/>
                </a:pPr>
                <a:r>
                  <a:rPr lang="en-US"/>
                  <a:t>Capacity [tonnes]</a:t>
                </a:r>
              </a:p>
            </c:rich>
          </c:tx>
          <c:overlay val="0"/>
        </c:title>
        <c:numFmt formatCode="0" sourceLinked="1"/>
        <c:majorTickMark val="none"/>
        <c:minorTickMark val="none"/>
        <c:tickLblPos val="nextTo"/>
        <c:crossAx val="10950144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'1.3'!$T$74</c:f>
              <c:strCache>
                <c:ptCount val="1"/>
                <c:pt idx="0">
                  <c:v>$/tonne</c:v>
                </c:pt>
              </c:strCache>
            </c:strRef>
          </c:tx>
          <c:trendline>
            <c:trendlineType val="power"/>
            <c:dispRSqr val="1"/>
            <c:dispEq val="1"/>
            <c:trendlineLbl>
              <c:layout>
                <c:manualLayout>
                  <c:x val="0.31778718285214347"/>
                  <c:y val="-0.65527012248468941"/>
                </c:manualLayout>
              </c:layout>
              <c:numFmt formatCode="#,##0.000000" sourceLinked="0"/>
            </c:trendlineLbl>
          </c:trendline>
          <c:xVal>
            <c:numRef>
              <c:f>'1.3'!$S$75:$S$78</c:f>
              <c:numCache>
                <c:formatCode>General</c:formatCode>
                <c:ptCount val="4"/>
                <c:pt idx="0">
                  <c:v>1</c:v>
                </c:pt>
                <c:pt idx="1">
                  <c:v>10</c:v>
                </c:pt>
                <c:pt idx="2">
                  <c:v>50</c:v>
                </c:pt>
                <c:pt idx="3">
                  <c:v>100</c:v>
                </c:pt>
              </c:numCache>
            </c:numRef>
          </c:xVal>
          <c:yVal>
            <c:numRef>
              <c:f>'1.3'!$T$75:$T$78</c:f>
              <c:numCache>
                <c:formatCode>"$"#,##0.00</c:formatCode>
                <c:ptCount val="4"/>
                <c:pt idx="0">
                  <c:v>70000</c:v>
                </c:pt>
                <c:pt idx="1">
                  <c:v>9860</c:v>
                </c:pt>
                <c:pt idx="2">
                  <c:v>4612</c:v>
                </c:pt>
                <c:pt idx="3">
                  <c:v>3956</c:v>
                </c:pt>
              </c:numCache>
            </c:numRef>
          </c:yVal>
          <c:smooth val="1"/>
        </c:ser>
        <c:dLbls>
          <c:showLegendKey val="0"/>
          <c:showVal val="0"/>
          <c:showCatName val="0"/>
          <c:showSerName val="0"/>
          <c:showPercent val="0"/>
          <c:showBubbleSize val="0"/>
        </c:dLbls>
        <c:axId val="109644032"/>
        <c:axId val="109645824"/>
      </c:scatterChart>
      <c:valAx>
        <c:axId val="109644032"/>
        <c:scaling>
          <c:orientation val="minMax"/>
        </c:scaling>
        <c:delete val="0"/>
        <c:axPos val="b"/>
        <c:numFmt formatCode="General" sourceLinked="1"/>
        <c:majorTickMark val="out"/>
        <c:minorTickMark val="none"/>
        <c:tickLblPos val="nextTo"/>
        <c:crossAx val="109645824"/>
        <c:crosses val="autoZero"/>
        <c:crossBetween val="midCat"/>
      </c:valAx>
      <c:valAx>
        <c:axId val="109645824"/>
        <c:scaling>
          <c:orientation val="minMax"/>
        </c:scaling>
        <c:delete val="0"/>
        <c:axPos val="l"/>
        <c:majorGridlines/>
        <c:numFmt formatCode="&quot;$&quot;#,##0.00" sourceLinked="1"/>
        <c:majorTickMark val="out"/>
        <c:minorTickMark val="none"/>
        <c:tickLblPos val="nextTo"/>
        <c:crossAx val="109644032"/>
        <c:crosses val="autoZero"/>
        <c:crossBetween val="midCat"/>
      </c:valAx>
      <c:spPr>
        <a:noFill/>
      </c:spPr>
    </c:plotArea>
    <c:legend>
      <c:legendPos val="r"/>
      <c:overlay val="0"/>
    </c:legend>
    <c:plotVisOnly val="1"/>
    <c:dispBlanksAs val="gap"/>
    <c:showDLblsOverMax val="0"/>
  </c:chart>
  <c:spPr>
    <a:solidFill>
      <a:schemeClr val="bg1">
        <a:lumMod val="75000"/>
      </a:schemeClr>
    </a:solidFill>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Adjusted Anchor</a:t>
            </a:r>
            <a:r>
              <a:rPr lang="en-US" baseline="0"/>
              <a:t> Cost as function of Anchor mass (assume separate Eng $)</a:t>
            </a:r>
          </a:p>
        </c:rich>
      </c:tx>
      <c:layout>
        <c:manualLayout>
          <c:xMode val="edge"/>
          <c:yMode val="edge"/>
          <c:x val="9.3638888888888883E-2"/>
          <c:y val="1.3888888888888888E-2"/>
        </c:manualLayout>
      </c:layout>
      <c:overlay val="0"/>
    </c:title>
    <c:autoTitleDeleted val="0"/>
    <c:plotArea>
      <c:layout/>
      <c:scatterChart>
        <c:scatterStyle val="lineMarker"/>
        <c:varyColors val="0"/>
        <c:ser>
          <c:idx val="0"/>
          <c:order val="0"/>
          <c:spPr>
            <a:ln w="28575">
              <a:noFill/>
            </a:ln>
          </c:spPr>
          <c:trendline>
            <c:trendlineType val="power"/>
            <c:dispRSqr val="1"/>
            <c:dispEq val="1"/>
            <c:trendlineLbl>
              <c:layout>
                <c:manualLayout>
                  <c:x val="0.38997960506553259"/>
                  <c:y val="-0.23848326137755263"/>
                </c:manualLayout>
              </c:layout>
              <c:numFmt formatCode="#,##0.000000" sourceLinked="0"/>
            </c:trendlineLbl>
          </c:trendline>
          <c:xVal>
            <c:numRef>
              <c:f>'1.3'!$M$42:$P$42</c:f>
              <c:numCache>
                <c:formatCode>General</c:formatCode>
                <c:ptCount val="4"/>
                <c:pt idx="0">
                  <c:v>10</c:v>
                </c:pt>
                <c:pt idx="1">
                  <c:v>50</c:v>
                </c:pt>
                <c:pt idx="2">
                  <c:v>100</c:v>
                </c:pt>
                <c:pt idx="3">
                  <c:v>1000</c:v>
                </c:pt>
              </c:numCache>
            </c:numRef>
          </c:xVal>
          <c:yVal>
            <c:numRef>
              <c:f>'1.3'!$M$47:$P$47</c:f>
              <c:numCache>
                <c:formatCode>"$"#,##0</c:formatCode>
                <c:ptCount val="4"/>
                <c:pt idx="0">
                  <c:v>4662.563218614383</c:v>
                </c:pt>
                <c:pt idx="1">
                  <c:v>3196.9846717023115</c:v>
                </c:pt>
                <c:pt idx="2">
                  <c:v>2717.4369709469647</c:v>
                </c:pt>
                <c:pt idx="3">
                  <c:v>2717.4369709469647</c:v>
                </c:pt>
              </c:numCache>
            </c:numRef>
          </c:yVal>
          <c:smooth val="0"/>
        </c:ser>
        <c:dLbls>
          <c:showLegendKey val="0"/>
          <c:showVal val="0"/>
          <c:showCatName val="0"/>
          <c:showSerName val="0"/>
          <c:showPercent val="0"/>
          <c:showBubbleSize val="0"/>
        </c:dLbls>
        <c:axId val="109675264"/>
        <c:axId val="109676800"/>
      </c:scatterChart>
      <c:valAx>
        <c:axId val="109675264"/>
        <c:scaling>
          <c:orientation val="minMax"/>
        </c:scaling>
        <c:delete val="0"/>
        <c:axPos val="b"/>
        <c:numFmt formatCode="General" sourceLinked="1"/>
        <c:majorTickMark val="out"/>
        <c:minorTickMark val="none"/>
        <c:tickLblPos val="nextTo"/>
        <c:crossAx val="109676800"/>
        <c:crosses val="autoZero"/>
        <c:crossBetween val="midCat"/>
      </c:valAx>
      <c:valAx>
        <c:axId val="109676800"/>
        <c:scaling>
          <c:orientation val="minMax"/>
        </c:scaling>
        <c:delete val="0"/>
        <c:axPos val="l"/>
        <c:majorGridlines/>
        <c:numFmt formatCode="&quot;$&quot;#,##0" sourceLinked="1"/>
        <c:majorTickMark val="out"/>
        <c:minorTickMark val="none"/>
        <c:tickLblPos val="nextTo"/>
        <c:crossAx val="1096752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RM5  Weight (tonnes)</a:t>
            </a:r>
          </a:p>
        </c:rich>
      </c:tx>
      <c:overlay val="0"/>
    </c:title>
    <c:autoTitleDeleted val="0"/>
    <c:plotArea>
      <c:layout/>
      <c:barChart>
        <c:barDir val="col"/>
        <c:grouping val="clustered"/>
        <c:varyColors val="0"/>
        <c:ser>
          <c:idx val="0"/>
          <c:order val="0"/>
          <c:tx>
            <c:strRef>
              <c:f>'1.4'!$I$3</c:f>
              <c:strCache>
                <c:ptCount val="1"/>
                <c:pt idx="0">
                  <c:v>Weight (tonnes)</c:v>
                </c:pt>
              </c:strCache>
            </c:strRef>
          </c:tx>
          <c:invertIfNegative val="0"/>
          <c:cat>
            <c:strRef>
              <c:f>('1.4'!$D$4,'1.4'!$D$6:$D$9)</c:f>
              <c:strCache>
                <c:ptCount val="5"/>
                <c:pt idx="0">
                  <c:v>Surge Frame </c:v>
                </c:pt>
                <c:pt idx="1">
                  <c:v>Fiberglass Tubing</c:v>
                </c:pt>
                <c:pt idx="2">
                  <c:v>Upright Support Structures - Side (2)</c:v>
                </c:pt>
                <c:pt idx="3">
                  <c:v>Upright Support Structures - Center</c:v>
                </c:pt>
                <c:pt idx="4">
                  <c:v>Torque Tube</c:v>
                </c:pt>
              </c:strCache>
            </c:strRef>
          </c:cat>
          <c:val>
            <c:numRef>
              <c:f>('1.4'!$I$4,'1.4'!$I$6:$I$9)</c:f>
              <c:numCache>
                <c:formatCode>#,##0</c:formatCode>
                <c:ptCount val="5"/>
                <c:pt idx="0">
                  <c:v>301</c:v>
                </c:pt>
                <c:pt idx="1">
                  <c:v>71.680000000000007</c:v>
                </c:pt>
                <c:pt idx="2">
                  <c:v>150.26599999999999</c:v>
                </c:pt>
                <c:pt idx="3">
                  <c:v>61.6</c:v>
                </c:pt>
                <c:pt idx="4">
                  <c:v>215</c:v>
                </c:pt>
              </c:numCache>
            </c:numRef>
          </c:val>
        </c:ser>
        <c:dLbls>
          <c:showLegendKey val="0"/>
          <c:showVal val="0"/>
          <c:showCatName val="0"/>
          <c:showSerName val="0"/>
          <c:showPercent val="0"/>
          <c:showBubbleSize val="0"/>
        </c:dLbls>
        <c:gapWidth val="150"/>
        <c:axId val="110853120"/>
        <c:axId val="110887680"/>
      </c:barChart>
      <c:catAx>
        <c:axId val="110853120"/>
        <c:scaling>
          <c:orientation val="minMax"/>
        </c:scaling>
        <c:delete val="0"/>
        <c:axPos val="b"/>
        <c:majorTickMark val="out"/>
        <c:minorTickMark val="none"/>
        <c:tickLblPos val="nextTo"/>
        <c:crossAx val="110887680"/>
        <c:crosses val="autoZero"/>
        <c:auto val="1"/>
        <c:lblAlgn val="ctr"/>
        <c:lblOffset val="100"/>
        <c:noMultiLvlLbl val="0"/>
      </c:catAx>
      <c:valAx>
        <c:axId val="110887680"/>
        <c:scaling>
          <c:orientation val="minMax"/>
        </c:scaling>
        <c:delete val="0"/>
        <c:axPos val="l"/>
        <c:majorGridlines/>
        <c:numFmt formatCode="#,##0" sourceLinked="1"/>
        <c:majorTickMark val="out"/>
        <c:minorTickMark val="none"/>
        <c:tickLblPos val="nextTo"/>
        <c:crossAx val="110853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Graphs'!$C$2:$E$2</c:f>
              <c:numCache>
                <c:formatCode>General</c:formatCode>
                <c:ptCount val="3"/>
                <c:pt idx="0">
                  <c:v>10</c:v>
                </c:pt>
                <c:pt idx="1">
                  <c:v>50</c:v>
                </c:pt>
                <c:pt idx="2">
                  <c:v>100</c:v>
                </c:pt>
              </c:numCache>
            </c:numRef>
          </c:cat>
          <c:val>
            <c:numRef>
              <c:f>('Report Tables'!$B$37,'Report Tables'!$D$37,'Report Tables'!$F$37)</c:f>
              <c:numCache>
                <c:formatCode>#,##0.0</c:formatCode>
                <c:ptCount val="3"/>
                <c:pt idx="0">
                  <c:v>10.040592045044026</c:v>
                </c:pt>
                <c:pt idx="1">
                  <c:v>2.4911735319915005</c:v>
                </c:pt>
                <c:pt idx="2" formatCode="0.0">
                  <c:v>1.3237985110466268</c:v>
                </c:pt>
              </c:numCache>
            </c:numRef>
          </c:val>
        </c:ser>
        <c:ser>
          <c:idx val="1"/>
          <c:order val="1"/>
          <c:tx>
            <c:strRef>
              <c:f>'Report Tables'!$A$8</c:f>
              <c:strCache>
                <c:ptCount val="1"/>
                <c:pt idx="0">
                  <c:v>Infrastructure</c:v>
                </c:pt>
              </c:strCache>
            </c:strRef>
          </c:tx>
          <c:invertIfNegative val="0"/>
          <c:cat>
            <c:numRef>
              <c:f>'Report Graphs'!$C$2:$E$2</c:f>
              <c:numCache>
                <c:formatCode>General</c:formatCode>
                <c:ptCount val="3"/>
                <c:pt idx="0">
                  <c:v>10</c:v>
                </c:pt>
                <c:pt idx="1">
                  <c:v>50</c:v>
                </c:pt>
                <c:pt idx="2">
                  <c:v>100</c:v>
                </c:pt>
              </c:numCache>
            </c:numRef>
          </c:cat>
          <c:val>
            <c:numRef>
              <c:f>('Report Tables'!$B$38,'Report Tables'!$D$38,'Report Tables'!$F$38)</c:f>
              <c:numCache>
                <c:formatCode>#,##0.0</c:formatCode>
                <c:ptCount val="3"/>
                <c:pt idx="0">
                  <c:v>9.3264492587474557</c:v>
                </c:pt>
                <c:pt idx="1">
                  <c:v>3.4780496631070292</c:v>
                </c:pt>
                <c:pt idx="2" formatCode="0.0">
                  <c:v>4.0686757478684017</c:v>
                </c:pt>
              </c:numCache>
            </c:numRef>
          </c:val>
        </c:ser>
        <c:ser>
          <c:idx val="3"/>
          <c:order val="2"/>
          <c:tx>
            <c:strRef>
              <c:f>'Report Tables'!$A$9</c:f>
              <c:strCache>
                <c:ptCount val="1"/>
                <c:pt idx="0">
                  <c:v>Mooring/Foundation</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Tables'!$B$39,'Report Tables'!$D$39,'Report Tables'!$F$39)</c:f>
              <c:numCache>
                <c:formatCode>#,##0.0</c:formatCode>
                <c:ptCount val="3"/>
                <c:pt idx="0">
                  <c:v>10.211785639379226</c:v>
                </c:pt>
                <c:pt idx="1">
                  <c:v>9.21717865164727</c:v>
                </c:pt>
                <c:pt idx="2" formatCode="0.0">
                  <c:v>8.918177688786491</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Tables'!$B$40,'Report Tables'!$D$40,'Report Tables'!$F$40)</c:f>
              <c:numCache>
                <c:formatCode>#,##0.0</c:formatCode>
                <c:ptCount val="3"/>
                <c:pt idx="0">
                  <c:v>11.092888310171286</c:v>
                </c:pt>
                <c:pt idx="1">
                  <c:v>9.8265212582966264</c:v>
                </c:pt>
                <c:pt idx="2" formatCode="0.0">
                  <c:v>9.54645931413204</c:v>
                </c:pt>
              </c:numCache>
            </c:numRef>
          </c:val>
        </c:ser>
        <c:ser>
          <c:idx val="5"/>
          <c:order val="4"/>
          <c:tx>
            <c:strRef>
              <c:f>'Report Tables'!$A$11</c:f>
              <c:strCache>
                <c:ptCount val="1"/>
                <c:pt idx="0">
                  <c:v>Power Conversion Chain</c:v>
                </c:pt>
              </c:strCache>
            </c:strRef>
          </c:tx>
          <c:invertIfNegative val="0"/>
          <c:cat>
            <c:numRef>
              <c:f>'Report Graphs'!$C$2:$E$2</c:f>
              <c:numCache>
                <c:formatCode>General</c:formatCode>
                <c:ptCount val="3"/>
                <c:pt idx="0">
                  <c:v>10</c:v>
                </c:pt>
                <c:pt idx="1">
                  <c:v>50</c:v>
                </c:pt>
                <c:pt idx="2">
                  <c:v>100</c:v>
                </c:pt>
              </c:numCache>
            </c:numRef>
          </c:cat>
          <c:val>
            <c:numRef>
              <c:f>('Report Tables'!$B$41,'Report Tables'!$D$41,'Report Tables'!$F$41)</c:f>
              <c:numCache>
                <c:formatCode>#,##0.0</c:formatCode>
                <c:ptCount val="3"/>
                <c:pt idx="0">
                  <c:v>7.9234916501223465</c:v>
                </c:pt>
                <c:pt idx="1">
                  <c:v>7.0189437559261636</c:v>
                </c:pt>
                <c:pt idx="2" formatCode="0.0">
                  <c:v>6.8188995100943144</c:v>
                </c:pt>
              </c:numCache>
            </c:numRef>
          </c:val>
        </c:ser>
        <c:ser>
          <c:idx val="2"/>
          <c:order val="5"/>
          <c:tx>
            <c:strRef>
              <c:f>'Report Tables'!$A$12</c:f>
              <c:strCache>
                <c:ptCount val="1"/>
                <c:pt idx="0">
                  <c:v>Subsystem Integration &amp; Profit Margin</c:v>
                </c:pt>
              </c:strCache>
            </c:strRef>
          </c:tx>
          <c:invertIfNegative val="0"/>
          <c:cat>
            <c:numRef>
              <c:f>'Report Graphs'!$C$2:$E$2</c:f>
              <c:numCache>
                <c:formatCode>General</c:formatCode>
                <c:ptCount val="3"/>
                <c:pt idx="0">
                  <c:v>10</c:v>
                </c:pt>
                <c:pt idx="1">
                  <c:v>50</c:v>
                </c:pt>
                <c:pt idx="2">
                  <c:v>100</c:v>
                </c:pt>
              </c:numCache>
            </c:numRef>
          </c:cat>
          <c:val>
            <c:numRef>
              <c:f>('Report Tables'!$B$42,'Report Tables'!$D$42,'Report Tables'!$F$42)</c:f>
              <c:numCache>
                <c:formatCode>#,##0.0</c:formatCode>
                <c:ptCount val="3"/>
                <c:pt idx="0">
                  <c:v>0.81634651465383357</c:v>
                </c:pt>
                <c:pt idx="1">
                  <c:v>0.63918848126401306</c:v>
                </c:pt>
                <c:pt idx="2" formatCode="0.0">
                  <c:v>0.57526963313761148</c:v>
                </c:pt>
              </c:numCache>
            </c:numRef>
          </c:val>
        </c:ser>
        <c:ser>
          <c:idx val="6"/>
          <c:order val="6"/>
          <c:tx>
            <c:strRef>
              <c:f>'Report Tables'!$A$13</c:f>
              <c:strCache>
                <c:ptCount val="1"/>
                <c:pt idx="0">
                  <c:v>Installation</c:v>
                </c:pt>
              </c:strCache>
            </c:strRef>
          </c:tx>
          <c:invertIfNegative val="0"/>
          <c:cat>
            <c:numRef>
              <c:f>'Report Graphs'!$C$2:$E$2</c:f>
              <c:numCache>
                <c:formatCode>General</c:formatCode>
                <c:ptCount val="3"/>
                <c:pt idx="0">
                  <c:v>10</c:v>
                </c:pt>
                <c:pt idx="1">
                  <c:v>50</c:v>
                </c:pt>
                <c:pt idx="2">
                  <c:v>100</c:v>
                </c:pt>
              </c:numCache>
            </c:numRef>
          </c:cat>
          <c:val>
            <c:numRef>
              <c:f>('Report Tables'!$B$43,'Report Tables'!$D$43,'Report Tables'!$F$43)</c:f>
              <c:numCache>
                <c:formatCode>#,##0.0</c:formatCode>
                <c:ptCount val="3"/>
                <c:pt idx="0">
                  <c:v>0.10222468515441127</c:v>
                </c:pt>
                <c:pt idx="1">
                  <c:v>6.0888839917026386E-2</c:v>
                </c:pt>
                <c:pt idx="2" formatCode="0.0">
                  <c:v>4.8711071933621099E-2</c:v>
                </c:pt>
              </c:numCache>
            </c:numRef>
          </c:val>
        </c:ser>
        <c:ser>
          <c:idx val="7"/>
          <c:order val="7"/>
          <c:tx>
            <c:strRef>
              <c:f>'Report Tables'!$A$14</c:f>
              <c:strCache>
                <c:ptCount val="1"/>
                <c:pt idx="0">
                  <c:v>Contingency</c:v>
                </c:pt>
              </c:strCache>
            </c:strRef>
          </c:tx>
          <c:invertIfNegative val="0"/>
          <c:cat>
            <c:numRef>
              <c:f>'Report Graphs'!$C$2:$E$2</c:f>
              <c:numCache>
                <c:formatCode>General</c:formatCode>
                <c:ptCount val="3"/>
                <c:pt idx="0">
                  <c:v>10</c:v>
                </c:pt>
                <c:pt idx="1">
                  <c:v>50</c:v>
                </c:pt>
                <c:pt idx="2">
                  <c:v>100</c:v>
                </c:pt>
              </c:numCache>
            </c:numRef>
          </c:cat>
          <c:val>
            <c:numRef>
              <c:f>('Report Tables'!$B$44,'Report Tables'!$D$44,'Report Tables'!$F$44)</c:f>
              <c:numCache>
                <c:formatCode>#,##0.0</c:formatCode>
                <c:ptCount val="3"/>
                <c:pt idx="0">
                  <c:v>1.1232376833016331</c:v>
                </c:pt>
                <c:pt idx="1">
                  <c:v>0.94499560624828383</c:v>
                </c:pt>
                <c:pt idx="2" formatCode="0.0">
                  <c:v>0.92271534661661525</c:v>
                </c:pt>
              </c:numCache>
            </c:numRef>
          </c:val>
        </c:ser>
        <c:dLbls>
          <c:showLegendKey val="0"/>
          <c:showVal val="0"/>
          <c:showCatName val="0"/>
          <c:showSerName val="0"/>
          <c:showPercent val="0"/>
          <c:showBubbleSize val="0"/>
        </c:dLbls>
        <c:gapWidth val="150"/>
        <c:overlap val="100"/>
        <c:axId val="103913344"/>
        <c:axId val="103919616"/>
      </c:barChart>
      <c:catAx>
        <c:axId val="103913344"/>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103919616"/>
        <c:crosses val="autoZero"/>
        <c:auto val="1"/>
        <c:lblAlgn val="ctr"/>
        <c:lblOffset val="100"/>
        <c:noMultiLvlLbl val="0"/>
      </c:catAx>
      <c:valAx>
        <c:axId val="103919616"/>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1.6838882510524299E-2"/>
              <c:y val="0.32321127075469985"/>
            </c:manualLayout>
          </c:layout>
          <c:overlay val="0"/>
        </c:title>
        <c:numFmt formatCode="#,##0.0" sourceLinked="1"/>
        <c:majorTickMark val="out"/>
        <c:minorTickMark val="none"/>
        <c:tickLblPos val="nextTo"/>
        <c:crossAx val="103913344"/>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Graphs'!$B$2:$E$2</c:f>
              <c:numCache>
                <c:formatCode>General</c:formatCode>
                <c:ptCount val="4"/>
                <c:pt idx="0">
                  <c:v>1</c:v>
                </c:pt>
                <c:pt idx="1">
                  <c:v>10</c:v>
                </c:pt>
                <c:pt idx="2">
                  <c:v>50</c:v>
                </c:pt>
                <c:pt idx="3">
                  <c:v>100</c:v>
                </c:pt>
              </c:numCache>
            </c:numRef>
          </c:cat>
          <c:val>
            <c:numRef>
              <c:f>'Report Tables'!$B$52:$E$52</c:f>
              <c:numCache>
                <c:formatCode>"$"#,##0</c:formatCode>
                <c:ptCount val="4"/>
                <c:pt idx="0">
                  <c:v>262</c:v>
                </c:pt>
                <c:pt idx="1">
                  <c:v>1195</c:v>
                </c:pt>
                <c:pt idx="2">
                  <c:v>2269</c:v>
                </c:pt>
                <c:pt idx="3">
                  <c:v>2206</c:v>
                </c:pt>
              </c:numCache>
            </c:numRef>
          </c:val>
        </c:ser>
        <c:ser>
          <c:idx val="1"/>
          <c:order val="1"/>
          <c:tx>
            <c:strRef>
              <c:f>'Report Tables'!$A$53</c:f>
              <c:strCache>
                <c:ptCount val="1"/>
                <c:pt idx="0">
                  <c:v>Environmental Monitoring &amp; Regulatory Compliance</c:v>
                </c:pt>
              </c:strCache>
            </c:strRef>
          </c:tx>
          <c:invertIfNegative val="0"/>
          <c:cat>
            <c:numRef>
              <c:f>'Report Graphs'!$B$2:$E$2</c:f>
              <c:numCache>
                <c:formatCode>General</c:formatCode>
                <c:ptCount val="4"/>
                <c:pt idx="0">
                  <c:v>1</c:v>
                </c:pt>
                <c:pt idx="1">
                  <c:v>10</c:v>
                </c:pt>
                <c:pt idx="2">
                  <c:v>50</c:v>
                </c:pt>
                <c:pt idx="3">
                  <c:v>100</c:v>
                </c:pt>
              </c:numCache>
            </c:numRef>
          </c:cat>
          <c:val>
            <c:numRef>
              <c:f>'Report Tables'!$B$53:$E$53</c:f>
              <c:numCache>
                <c:formatCode>"$"#,##0</c:formatCode>
                <c:ptCount val="4"/>
                <c:pt idx="0">
                  <c:v>465</c:v>
                </c:pt>
                <c:pt idx="1">
                  <c:v>2085</c:v>
                </c:pt>
                <c:pt idx="2">
                  <c:v>1785</c:v>
                </c:pt>
                <c:pt idx="3">
                  <c:v>1785</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Tables'!$B$54:$E$54</c:f>
              <c:numCache>
                <c:formatCode>"$"#,##0</c:formatCode>
                <c:ptCount val="4"/>
                <c:pt idx="0">
                  <c:v>76</c:v>
                </c:pt>
                <c:pt idx="1">
                  <c:v>758</c:v>
                </c:pt>
                <c:pt idx="2">
                  <c:v>618</c:v>
                </c:pt>
                <c:pt idx="3">
                  <c:v>1235</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Tables'!$B$55:$E$55</c:f>
              <c:numCache>
                <c:formatCode>"$"#,##0</c:formatCode>
                <c:ptCount val="4"/>
                <c:pt idx="0">
                  <c:v>262</c:v>
                </c:pt>
                <c:pt idx="1">
                  <c:v>400</c:v>
                </c:pt>
                <c:pt idx="2">
                  <c:v>455</c:v>
                </c:pt>
                <c:pt idx="3">
                  <c:v>675</c:v>
                </c:pt>
              </c:numCache>
            </c:numRef>
          </c:val>
        </c:ser>
        <c:ser>
          <c:idx val="5"/>
          <c:order val="4"/>
          <c:tx>
            <c:strRef>
              <c:f>'Report Tables'!$A$56</c:f>
              <c:strCache>
                <c:ptCount val="1"/>
                <c:pt idx="0">
                  <c:v>Replacement Parts</c:v>
                </c:pt>
              </c:strCache>
            </c:strRef>
          </c:tx>
          <c:invertIfNegative val="0"/>
          <c:cat>
            <c:numRef>
              <c:f>'Report Graphs'!$B$2:$E$2</c:f>
              <c:numCache>
                <c:formatCode>General</c:formatCode>
                <c:ptCount val="4"/>
                <c:pt idx="0">
                  <c:v>1</c:v>
                </c:pt>
                <c:pt idx="1">
                  <c:v>10</c:v>
                </c:pt>
                <c:pt idx="2">
                  <c:v>50</c:v>
                </c:pt>
                <c:pt idx="3">
                  <c:v>100</c:v>
                </c:pt>
              </c:numCache>
            </c:numRef>
          </c:cat>
          <c:val>
            <c:numRef>
              <c:f>'Report Tables'!$B$56:$E$56</c:f>
              <c:numCache>
                <c:formatCode>"$"#,##0</c:formatCode>
                <c:ptCount val="4"/>
                <c:pt idx="0">
                  <c:v>64</c:v>
                </c:pt>
                <c:pt idx="1">
                  <c:v>48</c:v>
                </c:pt>
                <c:pt idx="2">
                  <c:v>43</c:v>
                </c:pt>
                <c:pt idx="3">
                  <c:v>42</c:v>
                </c:pt>
              </c:numCache>
            </c:numRef>
          </c:val>
        </c:ser>
        <c:ser>
          <c:idx val="2"/>
          <c:order val="5"/>
          <c:tx>
            <c:strRef>
              <c:f>'Report Tables'!$A$57</c:f>
              <c:strCache>
                <c:ptCount val="1"/>
                <c:pt idx="0">
                  <c:v>Consumables</c:v>
                </c:pt>
              </c:strCache>
            </c:strRef>
          </c:tx>
          <c:invertIfNegative val="0"/>
          <c:cat>
            <c:numRef>
              <c:f>'Report Graphs'!$B$2:$E$2</c:f>
              <c:numCache>
                <c:formatCode>General</c:formatCode>
                <c:ptCount val="4"/>
                <c:pt idx="0">
                  <c:v>1</c:v>
                </c:pt>
                <c:pt idx="1">
                  <c:v>10</c:v>
                </c:pt>
                <c:pt idx="2">
                  <c:v>50</c:v>
                </c:pt>
                <c:pt idx="3">
                  <c:v>100</c:v>
                </c:pt>
              </c:numCache>
            </c:numRef>
          </c:cat>
          <c:val>
            <c:numRef>
              <c:f>'Report Tables'!$B$57:$E$57</c:f>
              <c:numCache>
                <c:formatCode>"$"#,##0</c:formatCode>
                <c:ptCount val="4"/>
                <c:pt idx="0">
                  <c:v>14</c:v>
                </c:pt>
                <c:pt idx="1">
                  <c:v>135</c:v>
                </c:pt>
                <c:pt idx="2">
                  <c:v>675</c:v>
                </c:pt>
                <c:pt idx="3">
                  <c:v>1350</c:v>
                </c:pt>
              </c:numCache>
            </c:numRef>
          </c:val>
        </c:ser>
        <c:dLbls>
          <c:showLegendKey val="0"/>
          <c:showVal val="0"/>
          <c:showCatName val="0"/>
          <c:showSerName val="0"/>
          <c:showPercent val="0"/>
          <c:showBubbleSize val="0"/>
        </c:dLbls>
        <c:gapWidth val="150"/>
        <c:overlap val="100"/>
        <c:axId val="102273024"/>
        <c:axId val="102274944"/>
      </c:barChart>
      <c:catAx>
        <c:axId val="102273024"/>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102274944"/>
        <c:crosses val="autoZero"/>
        <c:auto val="1"/>
        <c:lblAlgn val="ctr"/>
        <c:lblOffset val="100"/>
        <c:noMultiLvlLbl val="0"/>
      </c:catAx>
      <c:valAx>
        <c:axId val="102274944"/>
        <c:scaling>
          <c:orientation val="minMax"/>
          <c:min val="0"/>
        </c:scaling>
        <c:delete val="0"/>
        <c:axPos val="l"/>
        <c:majorGridlines>
          <c:spPr>
            <a:ln>
              <a:solidFill>
                <a:schemeClr val="bg1">
                  <a:lumMod val="85000"/>
                </a:schemeClr>
              </a:solidFill>
            </a:ln>
          </c:spPr>
        </c:majorGridlines>
        <c:title>
          <c:tx>
            <c:strRef>
              <c:f>'Report Tables'!$A$49</c:f>
              <c:strCache>
                <c:ptCount val="1"/>
                <c:pt idx="0">
                  <c:v>Annual Cost in Thousands ($)</c:v>
                </c:pt>
              </c:strCache>
            </c:strRef>
          </c:tx>
          <c:overlay val="0"/>
          <c:txPr>
            <a:bodyPr rot="-5400000" vert="horz"/>
            <a:lstStyle/>
            <a:p>
              <a:pPr>
                <a:defRPr/>
              </a:pPr>
              <a:endParaRPr lang="en-US"/>
            </a:p>
          </c:txPr>
        </c:title>
        <c:numFmt formatCode="&quot;$&quot;#,##0" sourceLinked="1"/>
        <c:majorTickMark val="out"/>
        <c:minorTickMark val="none"/>
        <c:tickLblPos val="nextTo"/>
        <c:crossAx val="102273024"/>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Graphs'!$B$2:$E$2</c:f>
              <c:numCache>
                <c:formatCode>General</c:formatCode>
                <c:ptCount val="4"/>
                <c:pt idx="0">
                  <c:v>1</c:v>
                </c:pt>
                <c:pt idx="1">
                  <c:v>10</c:v>
                </c:pt>
                <c:pt idx="2">
                  <c:v>50</c:v>
                </c:pt>
                <c:pt idx="3">
                  <c:v>100</c:v>
                </c:pt>
              </c:numCache>
            </c:numRef>
          </c:cat>
          <c:val>
            <c:numRef>
              <c:f>'Report Tables'!$B$65:$E$65</c:f>
              <c:numCache>
                <c:formatCode>"$"#,##0</c:formatCode>
                <c:ptCount val="4"/>
                <c:pt idx="0">
                  <c:v>730</c:v>
                </c:pt>
                <c:pt idx="1">
                  <c:v>330</c:v>
                </c:pt>
                <c:pt idx="2">
                  <c:v>130</c:v>
                </c:pt>
                <c:pt idx="3">
                  <c:v>60</c:v>
                </c:pt>
              </c:numCache>
            </c:numRef>
          </c:val>
        </c:ser>
        <c:ser>
          <c:idx val="1"/>
          <c:order val="1"/>
          <c:tx>
            <c:strRef>
              <c:f>'Report Tables'!$A$53</c:f>
              <c:strCache>
                <c:ptCount val="1"/>
                <c:pt idx="0">
                  <c:v>Environmental Monitoring &amp; Regulatory Compliance</c:v>
                </c:pt>
              </c:strCache>
            </c:strRef>
          </c:tx>
          <c:invertIfNegative val="0"/>
          <c:cat>
            <c:numRef>
              <c:f>'Report Graphs'!$B$2:$E$2</c:f>
              <c:numCache>
                <c:formatCode>General</c:formatCode>
                <c:ptCount val="4"/>
                <c:pt idx="0">
                  <c:v>1</c:v>
                </c:pt>
                <c:pt idx="1">
                  <c:v>10</c:v>
                </c:pt>
                <c:pt idx="2">
                  <c:v>50</c:v>
                </c:pt>
                <c:pt idx="3">
                  <c:v>100</c:v>
                </c:pt>
              </c:numCache>
            </c:numRef>
          </c:cat>
          <c:val>
            <c:numRef>
              <c:f>'Report Tables'!$B$66:$E$66</c:f>
              <c:numCache>
                <c:formatCode>"$"#,##0</c:formatCode>
                <c:ptCount val="4"/>
                <c:pt idx="0">
                  <c:v>1290</c:v>
                </c:pt>
                <c:pt idx="1">
                  <c:v>580</c:v>
                </c:pt>
                <c:pt idx="2">
                  <c:v>100</c:v>
                </c:pt>
                <c:pt idx="3">
                  <c:v>50</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Tables'!$B$67:$E$67</c:f>
              <c:numCache>
                <c:formatCode>"$"#,##0</c:formatCode>
                <c:ptCount val="4"/>
                <c:pt idx="0">
                  <c:v>210</c:v>
                </c:pt>
                <c:pt idx="1">
                  <c:v>210</c:v>
                </c:pt>
                <c:pt idx="2">
                  <c:v>30</c:v>
                </c:pt>
                <c:pt idx="3">
                  <c:v>30</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Tables'!$B$68:$E$68</c:f>
              <c:numCache>
                <c:formatCode>"$"#,##0</c:formatCode>
                <c:ptCount val="4"/>
                <c:pt idx="0">
                  <c:v>730</c:v>
                </c:pt>
                <c:pt idx="1">
                  <c:v>110</c:v>
                </c:pt>
                <c:pt idx="2">
                  <c:v>30</c:v>
                </c:pt>
                <c:pt idx="3">
                  <c:v>20</c:v>
                </c:pt>
              </c:numCache>
            </c:numRef>
          </c:val>
        </c:ser>
        <c:ser>
          <c:idx val="5"/>
          <c:order val="4"/>
          <c:tx>
            <c:strRef>
              <c:f>'Report Tables'!$A$56</c:f>
              <c:strCache>
                <c:ptCount val="1"/>
                <c:pt idx="0">
                  <c:v>Replacement Parts</c:v>
                </c:pt>
              </c:strCache>
            </c:strRef>
          </c:tx>
          <c:invertIfNegative val="0"/>
          <c:cat>
            <c:numRef>
              <c:f>'Report Graphs'!$B$2:$E$2</c:f>
              <c:numCache>
                <c:formatCode>General</c:formatCode>
                <c:ptCount val="4"/>
                <c:pt idx="0">
                  <c:v>1</c:v>
                </c:pt>
                <c:pt idx="1">
                  <c:v>10</c:v>
                </c:pt>
                <c:pt idx="2">
                  <c:v>50</c:v>
                </c:pt>
                <c:pt idx="3">
                  <c:v>100</c:v>
                </c:pt>
              </c:numCache>
            </c:numRef>
          </c:cat>
          <c:val>
            <c:numRef>
              <c:f>'Report Tables'!$B$69:$E$69</c:f>
              <c:numCache>
                <c:formatCode>"$"#,##0</c:formatCode>
                <c:ptCount val="4"/>
                <c:pt idx="0">
                  <c:v>180</c:v>
                </c:pt>
                <c:pt idx="1">
                  <c:v>10</c:v>
                </c:pt>
                <c:pt idx="2">
                  <c:v>0</c:v>
                </c:pt>
                <c:pt idx="3">
                  <c:v>0</c:v>
                </c:pt>
              </c:numCache>
            </c:numRef>
          </c:val>
        </c:ser>
        <c:ser>
          <c:idx val="2"/>
          <c:order val="5"/>
          <c:tx>
            <c:strRef>
              <c:f>'Report Tables'!$A$57</c:f>
              <c:strCache>
                <c:ptCount val="1"/>
                <c:pt idx="0">
                  <c:v>Consumables</c:v>
                </c:pt>
              </c:strCache>
            </c:strRef>
          </c:tx>
          <c:invertIfNegative val="0"/>
          <c:cat>
            <c:numRef>
              <c:f>'Report Graphs'!$B$2:$E$2</c:f>
              <c:numCache>
                <c:formatCode>General</c:formatCode>
                <c:ptCount val="4"/>
                <c:pt idx="0">
                  <c:v>1</c:v>
                </c:pt>
                <c:pt idx="1">
                  <c:v>10</c:v>
                </c:pt>
                <c:pt idx="2">
                  <c:v>50</c:v>
                </c:pt>
                <c:pt idx="3">
                  <c:v>100</c:v>
                </c:pt>
              </c:numCache>
            </c:numRef>
          </c:cat>
          <c:val>
            <c:numRef>
              <c:f>'Report Tables'!$B$70:$E$70</c:f>
              <c:numCache>
                <c:formatCode>"$"#,##0</c:formatCode>
                <c:ptCount val="4"/>
                <c:pt idx="0">
                  <c:v>40</c:v>
                </c:pt>
                <c:pt idx="1">
                  <c:v>40</c:v>
                </c:pt>
                <c:pt idx="2">
                  <c:v>40</c:v>
                </c:pt>
                <c:pt idx="3">
                  <c:v>40</c:v>
                </c:pt>
              </c:numCache>
            </c:numRef>
          </c:val>
        </c:ser>
        <c:dLbls>
          <c:showLegendKey val="0"/>
          <c:showVal val="0"/>
          <c:showCatName val="0"/>
          <c:showSerName val="0"/>
          <c:showPercent val="0"/>
          <c:showBubbleSize val="0"/>
        </c:dLbls>
        <c:gapWidth val="150"/>
        <c:overlap val="100"/>
        <c:axId val="102403456"/>
        <c:axId val="102409728"/>
      </c:barChart>
      <c:catAx>
        <c:axId val="102403456"/>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102409728"/>
        <c:crosses val="autoZero"/>
        <c:auto val="1"/>
        <c:lblAlgn val="ctr"/>
        <c:lblOffset val="100"/>
        <c:noMultiLvlLbl val="0"/>
      </c:catAx>
      <c:valAx>
        <c:axId val="102409728"/>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Opex ($ / kW-yr)</a:t>
                </a:r>
              </a:p>
            </c:rich>
          </c:tx>
          <c:layout>
            <c:manualLayout>
              <c:xMode val="edge"/>
              <c:yMode val="edge"/>
              <c:x val="9.1848450057405318E-3"/>
              <c:y val="0.31372635021380968"/>
            </c:manualLayout>
          </c:layout>
          <c:overlay val="0"/>
        </c:title>
        <c:numFmt formatCode="&quot;$&quot;#,##0" sourceLinked="1"/>
        <c:majorTickMark val="out"/>
        <c:minorTickMark val="none"/>
        <c:tickLblPos val="nextTo"/>
        <c:crossAx val="102403456"/>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Graphs'!$C$2:$E$2</c:f>
              <c:numCache>
                <c:formatCode>General</c:formatCode>
                <c:ptCount val="3"/>
                <c:pt idx="0">
                  <c:v>10</c:v>
                </c:pt>
                <c:pt idx="1">
                  <c:v>50</c:v>
                </c:pt>
                <c:pt idx="2">
                  <c:v>100</c:v>
                </c:pt>
              </c:numCache>
            </c:numRef>
          </c:cat>
          <c:val>
            <c:numRef>
              <c:f>('Report Tables'!$B$79,'Report Tables'!$D$79,'Report Tables'!$F$79)</c:f>
              <c:numCache>
                <c:formatCode>0.0</c:formatCode>
                <c:ptCount val="3"/>
                <c:pt idx="0">
                  <c:v>13.554403142461073</c:v>
                </c:pt>
                <c:pt idx="1">
                  <c:v>5.1478048231422067</c:v>
                </c:pt>
                <c:pt idx="2">
                  <c:v>2.5025924873469414</c:v>
                </c:pt>
              </c:numCache>
            </c:numRef>
          </c:val>
        </c:ser>
        <c:ser>
          <c:idx val="1"/>
          <c:order val="1"/>
          <c:tx>
            <c:strRef>
              <c:f>'Report Tables'!$A$53</c:f>
              <c:strCache>
                <c:ptCount val="1"/>
                <c:pt idx="0">
                  <c:v>Environmental Monitoring &amp; Regulatory Compliance</c:v>
                </c:pt>
              </c:strCache>
            </c:strRef>
          </c:tx>
          <c:invertIfNegative val="0"/>
          <c:cat>
            <c:numRef>
              <c:f>'Report Graphs'!$C$2:$E$2</c:f>
              <c:numCache>
                <c:formatCode>General</c:formatCode>
                <c:ptCount val="3"/>
                <c:pt idx="0">
                  <c:v>10</c:v>
                </c:pt>
                <c:pt idx="1">
                  <c:v>50</c:v>
                </c:pt>
                <c:pt idx="2">
                  <c:v>100</c:v>
                </c:pt>
              </c:numCache>
            </c:numRef>
          </c:cat>
          <c:val>
            <c:numRef>
              <c:f>('Report Tables'!$B$80,'Report Tables'!$D$80,'Report Tables'!$F$80)</c:f>
              <c:numCache>
                <c:formatCode>0.0</c:formatCode>
                <c:ptCount val="3"/>
                <c:pt idx="0">
                  <c:v>23.654127649222822</c:v>
                </c:pt>
                <c:pt idx="1">
                  <c:v>4.0501312090036201</c:v>
                </c:pt>
                <c:pt idx="2">
                  <c:v>2.0250656045018101</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Tables'!$B$81,'Report Tables'!$D$81,'Report Tables'!$F$81)</c:f>
              <c:numCache>
                <c:formatCode>0.0</c:formatCode>
                <c:ptCount val="3"/>
                <c:pt idx="0">
                  <c:v>8.5977365174884977</c:v>
                </c:pt>
                <c:pt idx="1">
                  <c:v>1.4015496066115047</c:v>
                </c:pt>
                <c:pt idx="2">
                  <c:v>1.4015496066115047</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Tables'!$B$82,'Report Tables'!$D$82,'Report Tables'!$F$82)</c:f>
              <c:numCache>
                <c:formatCode>0.0</c:formatCode>
                <c:ptCount val="3"/>
                <c:pt idx="0">
                  <c:v>4.5372360649973995</c:v>
                </c:pt>
                <c:pt idx="1">
                  <c:v>1.0316875404393691</c:v>
                </c:pt>
                <c:pt idx="2">
                  <c:v>0.76536588741034961</c:v>
                </c:pt>
              </c:numCache>
            </c:numRef>
          </c:val>
        </c:ser>
        <c:ser>
          <c:idx val="5"/>
          <c:order val="4"/>
          <c:tx>
            <c:strRef>
              <c:f>'Report Tables'!$A$56</c:f>
              <c:strCache>
                <c:ptCount val="1"/>
                <c:pt idx="0">
                  <c:v>Replacement Parts</c:v>
                </c:pt>
              </c:strCache>
            </c:strRef>
          </c:tx>
          <c:invertIfNegative val="0"/>
          <c:cat>
            <c:numRef>
              <c:f>'Report Graphs'!$C$2:$E$2</c:f>
              <c:numCache>
                <c:formatCode>General</c:formatCode>
                <c:ptCount val="3"/>
                <c:pt idx="0">
                  <c:v>10</c:v>
                </c:pt>
                <c:pt idx="1">
                  <c:v>50</c:v>
                </c:pt>
                <c:pt idx="2">
                  <c:v>100</c:v>
                </c:pt>
              </c:numCache>
            </c:numRef>
          </c:cat>
          <c:val>
            <c:numRef>
              <c:f>('Report Tables'!$B$83,'Report Tables'!$D$83,'Report Tables'!$F$83)</c:f>
              <c:numCache>
                <c:formatCode>0.0</c:formatCode>
                <c:ptCount val="3"/>
                <c:pt idx="0">
                  <c:v>0.54679151016898386</c:v>
                </c:pt>
                <c:pt idx="1">
                  <c:v>9.8595077295352274E-2</c:v>
                </c:pt>
                <c:pt idx="2">
                  <c:v>4.7540606385249512E-2</c:v>
                </c:pt>
              </c:numCache>
            </c:numRef>
          </c:val>
        </c:ser>
        <c:ser>
          <c:idx val="2"/>
          <c:order val="5"/>
          <c:tx>
            <c:strRef>
              <c:f>'Report Tables'!$A$57</c:f>
              <c:strCache>
                <c:ptCount val="1"/>
                <c:pt idx="0">
                  <c:v>Consumables</c:v>
                </c:pt>
              </c:strCache>
            </c:strRef>
          </c:tx>
          <c:invertIfNegative val="0"/>
          <c:cat>
            <c:numRef>
              <c:f>'Report Graphs'!$C$2:$E$2</c:f>
              <c:numCache>
                <c:formatCode>General</c:formatCode>
                <c:ptCount val="3"/>
                <c:pt idx="0">
                  <c:v>10</c:v>
                </c:pt>
                <c:pt idx="1">
                  <c:v>50</c:v>
                </c:pt>
                <c:pt idx="2">
                  <c:v>100</c:v>
                </c:pt>
              </c:numCache>
            </c:numRef>
          </c:cat>
          <c:val>
            <c:numRef>
              <c:f>('Report Tables'!$B$84,'Report Tables'!$D$84,'Report Tables'!$F$84)</c:f>
              <c:numCache>
                <c:formatCode>0.0</c:formatCode>
                <c:ptCount val="3"/>
                <c:pt idx="0">
                  <c:v>1.5315622218921254</c:v>
                </c:pt>
                <c:pt idx="1">
                  <c:v>1.5315622218921252</c:v>
                </c:pt>
                <c:pt idx="2">
                  <c:v>1.5315622218921252</c:v>
                </c:pt>
              </c:numCache>
            </c:numRef>
          </c:val>
        </c:ser>
        <c:dLbls>
          <c:showLegendKey val="0"/>
          <c:showVal val="0"/>
          <c:showCatName val="0"/>
          <c:showSerName val="0"/>
          <c:showPercent val="0"/>
          <c:showBubbleSize val="0"/>
        </c:dLbls>
        <c:gapWidth val="150"/>
        <c:overlap val="100"/>
        <c:axId val="102323712"/>
        <c:axId val="102325632"/>
      </c:barChart>
      <c:catAx>
        <c:axId val="102323712"/>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102325632"/>
        <c:crosses val="autoZero"/>
        <c:auto val="1"/>
        <c:lblAlgn val="ctr"/>
        <c:lblOffset val="100"/>
        <c:noMultiLvlLbl val="0"/>
      </c:catAx>
      <c:valAx>
        <c:axId val="102325632"/>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318E-3"/>
              <c:y val="0.31372635021380968"/>
            </c:manualLayout>
          </c:layout>
          <c:overlay val="0"/>
        </c:title>
        <c:numFmt formatCode="0.0" sourceLinked="1"/>
        <c:majorTickMark val="out"/>
        <c:minorTickMark val="none"/>
        <c:tickLblPos val="nextTo"/>
        <c:crossAx val="102323712"/>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'Report Graphs'!$A$159:$A$163</c:f>
              <c:numCache>
                <c:formatCode>0.00</c:formatCode>
                <c:ptCount val="5"/>
                <c:pt idx="0">
                  <c:v>1.1999999999999997</c:v>
                </c:pt>
                <c:pt idx="1">
                  <c:v>1.3999999999999992</c:v>
                </c:pt>
                <c:pt idx="2">
                  <c:v>1.599999999999999</c:v>
                </c:pt>
                <c:pt idx="3">
                  <c:v>1.8</c:v>
                </c:pt>
                <c:pt idx="4">
                  <c:v>2</c:v>
                </c:pt>
              </c:numCache>
            </c:numRef>
          </c:xVal>
          <c:yVal>
            <c:numRef>
              <c:f>'Report Graphs'!$D$159:$D$163</c:f>
              <c:numCache>
                <c:formatCode>0.00</c:formatCode>
                <c:ptCount val="5"/>
              </c:numCache>
            </c:numRef>
          </c:yVal>
          <c:smooth val="1"/>
        </c:ser>
        <c:ser>
          <c:idx val="1"/>
          <c:order val="1"/>
          <c:xVal>
            <c:numRef>
              <c:f>'Report Graphs'!$A$164</c:f>
              <c:numCache>
                <c:formatCode>0.00</c:formatCode>
                <c:ptCount val="1"/>
              </c:numCache>
            </c:numRef>
          </c:xVal>
          <c:yVal>
            <c:numRef>
              <c:f>'Report Graphs'!$D$164</c:f>
              <c:numCache>
                <c:formatCode>0.00</c:formatCode>
                <c:ptCount val="1"/>
              </c:numCache>
            </c:numRef>
          </c:yVal>
          <c:smooth val="1"/>
        </c:ser>
        <c:dLbls>
          <c:showLegendKey val="0"/>
          <c:showVal val="0"/>
          <c:showCatName val="0"/>
          <c:showSerName val="0"/>
          <c:showPercent val="0"/>
          <c:showBubbleSize val="0"/>
        </c:dLbls>
        <c:axId val="102363904"/>
        <c:axId val="102365824"/>
      </c:scatterChart>
      <c:valAx>
        <c:axId val="102363904"/>
        <c:scaling>
          <c:orientation val="minMax"/>
          <c:min val="1"/>
        </c:scaling>
        <c:delete val="0"/>
        <c:axPos val="b"/>
        <c:majorGridlines>
          <c:spPr>
            <a:ln>
              <a:solidFill>
                <a:schemeClr val="bg1">
                  <a:lumMod val="85000"/>
                </a:schemeClr>
              </a:solidFill>
            </a:ln>
          </c:spPr>
        </c:majorGridlines>
        <c:title>
          <c:tx>
            <c:rich>
              <a:bodyPr/>
              <a:lstStyle/>
              <a:p>
                <a:pPr>
                  <a:defRPr/>
                </a:pPr>
                <a:r>
                  <a:rPr lang="en-US"/>
                  <a:t>Mean Velocity (m/s)</a:t>
                </a:r>
              </a:p>
            </c:rich>
          </c:tx>
          <c:overlay val="0"/>
        </c:title>
        <c:numFmt formatCode="0.00" sourceLinked="1"/>
        <c:majorTickMark val="out"/>
        <c:minorTickMark val="none"/>
        <c:tickLblPos val="nextTo"/>
        <c:crossAx val="102365824"/>
        <c:crosses val="autoZero"/>
        <c:crossBetween val="midCat"/>
      </c:valAx>
      <c:valAx>
        <c:axId val="102365824"/>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0.00" sourceLinked="1"/>
        <c:majorTickMark val="out"/>
        <c:minorTickMark val="none"/>
        <c:tickLblPos val="nextTo"/>
        <c:crossAx val="102363904"/>
        <c:crosses val="autoZero"/>
        <c:crossBetween val="midCat"/>
      </c:valAx>
    </c:plotArea>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marker>
            <c:symbol val="none"/>
          </c:marker>
          <c:xVal>
            <c:numRef>
              <c:f>'Report Graphs'!$C$159:$C$163</c:f>
              <c:numCache>
                <c:formatCode>0.00</c:formatCode>
                <c:ptCount val="5"/>
              </c:numCache>
            </c:numRef>
          </c:xVal>
          <c:yVal>
            <c:numRef>
              <c:f>'Report Graphs'!$D$159:$D$163</c:f>
              <c:numCache>
                <c:formatCode>0.00</c:formatCode>
                <c:ptCount val="5"/>
              </c:numCache>
            </c:numRef>
          </c:yVal>
          <c:smooth val="0"/>
        </c:ser>
        <c:ser>
          <c:idx val="1"/>
          <c:order val="1"/>
          <c:xVal>
            <c:numRef>
              <c:f>'Report Graphs'!$C$164</c:f>
              <c:numCache>
                <c:formatCode>0.00</c:formatCode>
                <c:ptCount val="1"/>
              </c:numCache>
            </c:numRef>
          </c:xVal>
          <c:yVal>
            <c:numRef>
              <c:f>'Report Graphs'!$D$164</c:f>
              <c:numCache>
                <c:formatCode>0.00</c:formatCode>
                <c:ptCount val="1"/>
              </c:numCache>
            </c:numRef>
          </c:yVal>
          <c:smooth val="0"/>
        </c:ser>
        <c:dLbls>
          <c:showLegendKey val="0"/>
          <c:showVal val="0"/>
          <c:showCatName val="0"/>
          <c:showSerName val="0"/>
          <c:showPercent val="0"/>
          <c:showBubbleSize val="0"/>
        </c:dLbls>
        <c:axId val="104228352"/>
        <c:axId val="104230272"/>
      </c:scatterChart>
      <c:valAx>
        <c:axId val="104228352"/>
        <c:scaling>
          <c:orientation val="minMax"/>
        </c:scaling>
        <c:delete val="0"/>
        <c:axPos val="b"/>
        <c:majorGridlines>
          <c:spPr>
            <a:ln>
              <a:solidFill>
                <a:schemeClr val="bg1">
                  <a:lumMod val="85000"/>
                </a:schemeClr>
              </a:solidFill>
            </a:ln>
          </c:spPr>
        </c:majorGridlines>
        <c:title>
          <c:tx>
            <c:rich>
              <a:bodyPr/>
              <a:lstStyle/>
              <a:p>
                <a:pPr>
                  <a:defRPr/>
                </a:pPr>
                <a:r>
                  <a:rPr lang="en-US"/>
                  <a:t>Mean Power</a:t>
                </a:r>
                <a:r>
                  <a:rPr lang="en-US" baseline="0"/>
                  <a:t> Flux</a:t>
                </a:r>
                <a:r>
                  <a:rPr lang="en-US"/>
                  <a:t> (kW/m</a:t>
                </a:r>
                <a:r>
                  <a:rPr lang="en-US" baseline="30000"/>
                  <a:t>2</a:t>
                </a:r>
                <a:r>
                  <a:rPr lang="en-US"/>
                  <a:t>)</a:t>
                </a:r>
              </a:p>
            </c:rich>
          </c:tx>
          <c:overlay val="0"/>
        </c:title>
        <c:numFmt formatCode="0.00" sourceLinked="1"/>
        <c:majorTickMark val="out"/>
        <c:minorTickMark val="none"/>
        <c:tickLblPos val="nextTo"/>
        <c:crossAx val="104230272"/>
        <c:crosses val="autoZero"/>
        <c:crossBetween val="midCat"/>
      </c:valAx>
      <c:valAx>
        <c:axId val="104230272"/>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0.00" sourceLinked="1"/>
        <c:majorTickMark val="out"/>
        <c:minorTickMark val="none"/>
        <c:tickLblPos val="nextTo"/>
        <c:crossAx val="104228352"/>
        <c:crosses val="autoZero"/>
        <c:crossBetween val="midCat"/>
      </c:valAx>
    </c:plotArea>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a:solidFill>
                <a:schemeClr val="accent1"/>
              </a:solidFill>
            </a:ln>
          </c:spPr>
          <c:marker>
            <c:symbol val="none"/>
          </c:marker>
          <c:xVal>
            <c:numRef>
              <c:f>'Report Graphs'!$B$159:$B$163</c:f>
              <c:numCache>
                <c:formatCode>0.00</c:formatCode>
                <c:ptCount val="5"/>
                <c:pt idx="0">
                  <c:v>2.2597810166080361</c:v>
                </c:pt>
                <c:pt idx="1">
                  <c:v>2.6364111860427073</c:v>
                </c:pt>
                <c:pt idx="2">
                  <c:v>3.0130413554773803</c:v>
                </c:pt>
                <c:pt idx="3">
                  <c:v>3.3896715249120541</c:v>
                </c:pt>
                <c:pt idx="4">
                  <c:v>3.7663016943467267</c:v>
                </c:pt>
              </c:numCache>
            </c:numRef>
          </c:xVal>
          <c:yVal>
            <c:numRef>
              <c:f>'Report Graphs'!$D$159:$D$163</c:f>
              <c:numCache>
                <c:formatCode>0.00</c:formatCode>
                <c:ptCount val="5"/>
              </c:numCache>
            </c:numRef>
          </c:yVal>
          <c:smooth val="1"/>
        </c:ser>
        <c:ser>
          <c:idx val="1"/>
          <c:order val="1"/>
          <c:xVal>
            <c:numRef>
              <c:f>'Report Graphs'!$B$164</c:f>
              <c:numCache>
                <c:formatCode>0.00</c:formatCode>
                <c:ptCount val="1"/>
              </c:numCache>
            </c:numRef>
          </c:xVal>
          <c:yVal>
            <c:numRef>
              <c:f>'Report Graphs'!$D$164</c:f>
              <c:numCache>
                <c:formatCode>0.00</c:formatCode>
                <c:ptCount val="1"/>
              </c:numCache>
            </c:numRef>
          </c:yVal>
          <c:smooth val="1"/>
        </c:ser>
        <c:dLbls>
          <c:showLegendKey val="0"/>
          <c:showVal val="0"/>
          <c:showCatName val="0"/>
          <c:showSerName val="0"/>
          <c:showPercent val="0"/>
          <c:showBubbleSize val="0"/>
        </c:dLbls>
        <c:axId val="104246272"/>
        <c:axId val="104084608"/>
      </c:scatterChart>
      <c:valAx>
        <c:axId val="104246272"/>
        <c:scaling>
          <c:orientation val="minMax"/>
          <c:min val="1"/>
        </c:scaling>
        <c:delete val="0"/>
        <c:axPos val="b"/>
        <c:majorGridlines>
          <c:spPr>
            <a:ln>
              <a:solidFill>
                <a:schemeClr val="bg1">
                  <a:lumMod val="85000"/>
                </a:schemeClr>
              </a:solidFill>
            </a:ln>
          </c:spPr>
        </c:majorGridlines>
        <c:title>
          <c:tx>
            <c:rich>
              <a:bodyPr/>
              <a:lstStyle/>
              <a:p>
                <a:pPr>
                  <a:defRPr/>
                </a:pPr>
                <a:r>
                  <a:rPr lang="en-US"/>
                  <a:t>Peak Velocity (m/s)</a:t>
                </a:r>
              </a:p>
            </c:rich>
          </c:tx>
          <c:overlay val="0"/>
        </c:title>
        <c:numFmt formatCode="0.00" sourceLinked="1"/>
        <c:majorTickMark val="out"/>
        <c:minorTickMark val="none"/>
        <c:tickLblPos val="nextTo"/>
        <c:crossAx val="104084608"/>
        <c:crosses val="autoZero"/>
        <c:crossBetween val="midCat"/>
      </c:valAx>
      <c:valAx>
        <c:axId val="104084608"/>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0.00" sourceLinked="1"/>
        <c:majorTickMark val="out"/>
        <c:minorTickMark val="none"/>
        <c:tickLblPos val="nextTo"/>
        <c:crossAx val="104246272"/>
        <c:crosses val="autoZero"/>
        <c:crossBetween val="midCat"/>
      </c:valAx>
    </c:plotArea>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chart" Target="../charts/chart23.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6.wmf"/></Relationships>
</file>

<file path=xl/drawings/_rels/drawing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0</xdr:col>
      <xdr:colOff>47625</xdr:colOff>
      <xdr:row>5</xdr:row>
      <xdr:rowOff>152401</xdr:rowOff>
    </xdr:from>
    <xdr:to>
      <xdr:col>10</xdr:col>
      <xdr:colOff>361950</xdr:colOff>
      <xdr:row>25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57150</xdr:rowOff>
    </xdr:from>
    <xdr:to>
      <xdr:col>10</xdr:col>
      <xdr:colOff>476250</xdr:colOff>
      <xdr:row>46</xdr:row>
      <xdr:rowOff>176743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38100</xdr:rowOff>
    </xdr:from>
    <xdr:to>
      <xdr:col>10</xdr:col>
      <xdr:colOff>533400</xdr:colOff>
      <xdr:row>67</xdr:row>
      <xdr:rowOff>157693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85725</xdr:rowOff>
    </xdr:from>
    <xdr:to>
      <xdr:col>11</xdr:col>
      <xdr:colOff>295275</xdr:colOff>
      <xdr:row>89</xdr:row>
      <xdr:rowOff>14818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89</xdr:row>
      <xdr:rowOff>57150</xdr:rowOff>
    </xdr:from>
    <xdr:to>
      <xdr:col>10</xdr:col>
      <xdr:colOff>476250</xdr:colOff>
      <xdr:row>108</xdr:row>
      <xdr:rowOff>176743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109</xdr:row>
      <xdr:rowOff>133350</xdr:rowOff>
    </xdr:from>
    <xdr:to>
      <xdr:col>11</xdr:col>
      <xdr:colOff>295275</xdr:colOff>
      <xdr:row>129</xdr:row>
      <xdr:rowOff>62443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142876</xdr:colOff>
      <xdr:row>165</xdr:row>
      <xdr:rowOff>66675</xdr:rowOff>
    </xdr:from>
    <xdr:to>
      <xdr:col>5</xdr:col>
      <xdr:colOff>152401</xdr:colOff>
      <xdr:row>179</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171450</xdr:colOff>
      <xdr:row>180</xdr:row>
      <xdr:rowOff>9525</xdr:rowOff>
    </xdr:from>
    <xdr:to>
      <xdr:col>5</xdr:col>
      <xdr:colOff>2801</xdr:colOff>
      <xdr:row>194</xdr:row>
      <xdr:rowOff>85725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152400</xdr:colOff>
      <xdr:row>195</xdr:row>
      <xdr:rowOff>76200</xdr:rowOff>
    </xdr:from>
    <xdr:to>
      <xdr:col>5</xdr:col>
      <xdr:colOff>352425</xdr:colOff>
      <xdr:row>211</xdr:row>
      <xdr:rowOff>85725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absoluteAnchor>
    <xdr:pos x="0" y="42786301"/>
    <xdr:ext cx="6867525" cy="3790950"/>
    <xdr:graphicFrame macro="">
      <xdr:nvGraphicFramePr>
        <xdr:cNvPr id="12" name="Chart 1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absoluteAnchor>
  <xdr:twoCellAnchor>
    <xdr:from>
      <xdr:col>0</xdr:col>
      <xdr:colOff>0</xdr:colOff>
      <xdr:row>131</xdr:row>
      <xdr:rowOff>47625</xdr:rowOff>
    </xdr:from>
    <xdr:to>
      <xdr:col>11</xdr:col>
      <xdr:colOff>66675</xdr:colOff>
      <xdr:row>150</xdr:row>
      <xdr:rowOff>167218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546100</xdr:colOff>
      <xdr:row>297</xdr:row>
      <xdr:rowOff>85194</xdr:rowOff>
    </xdr:from>
    <xdr:to>
      <xdr:col>20</xdr:col>
      <xdr:colOff>467784</xdr:colOff>
      <xdr:row>320</xdr:row>
      <xdr:rowOff>185207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29630</xdr:colOff>
      <xdr:row>37</xdr:row>
      <xdr:rowOff>100012</xdr:rowOff>
    </xdr:from>
    <xdr:to>
      <xdr:col>6</xdr:col>
      <xdr:colOff>306917</xdr:colOff>
      <xdr:row>57</xdr:row>
      <xdr:rowOff>84668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97</xdr:row>
      <xdr:rowOff>14287</xdr:rowOff>
    </xdr:from>
    <xdr:to>
      <xdr:col>6</xdr:col>
      <xdr:colOff>352425</xdr:colOff>
      <xdr:row>111</xdr:row>
      <xdr:rowOff>90487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104775</xdr:colOff>
      <xdr:row>153</xdr:row>
      <xdr:rowOff>23812</xdr:rowOff>
    </xdr:from>
    <xdr:to>
      <xdr:col>6</xdr:col>
      <xdr:colOff>549529</xdr:colOff>
      <xdr:row>173</xdr:row>
      <xdr:rowOff>100012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264582</xdr:colOff>
      <xdr:row>183</xdr:row>
      <xdr:rowOff>168273</xdr:rowOff>
    </xdr:from>
    <xdr:to>
      <xdr:col>6</xdr:col>
      <xdr:colOff>413003</xdr:colOff>
      <xdr:row>203</xdr:row>
      <xdr:rowOff>125601</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42333</xdr:colOff>
      <xdr:row>214</xdr:row>
      <xdr:rowOff>30690</xdr:rowOff>
    </xdr:from>
    <xdr:to>
      <xdr:col>6</xdr:col>
      <xdr:colOff>486833</xdr:colOff>
      <xdr:row>235</xdr:row>
      <xdr:rowOff>21165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42332</xdr:colOff>
      <xdr:row>250</xdr:row>
      <xdr:rowOff>136521</xdr:rowOff>
    </xdr:from>
    <xdr:to>
      <xdr:col>7</xdr:col>
      <xdr:colOff>603250</xdr:colOff>
      <xdr:row>275</xdr:row>
      <xdr:rowOff>158748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10583</xdr:colOff>
      <xdr:row>285</xdr:row>
      <xdr:rowOff>189440</xdr:rowOff>
    </xdr:from>
    <xdr:to>
      <xdr:col>6</xdr:col>
      <xdr:colOff>455337</xdr:colOff>
      <xdr:row>305</xdr:row>
      <xdr:rowOff>146768</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21166</xdr:colOff>
      <xdr:row>321</xdr:row>
      <xdr:rowOff>35984</xdr:rowOff>
    </xdr:from>
    <xdr:to>
      <xdr:col>4</xdr:col>
      <xdr:colOff>516466</xdr:colOff>
      <xdr:row>342</xdr:row>
      <xdr:rowOff>150284</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21166</xdr:colOff>
      <xdr:row>342</xdr:row>
      <xdr:rowOff>131235</xdr:rowOff>
    </xdr:from>
    <xdr:to>
      <xdr:col>4</xdr:col>
      <xdr:colOff>516466</xdr:colOff>
      <xdr:row>364</xdr:row>
      <xdr:rowOff>55035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529166</xdr:colOff>
      <xdr:row>321</xdr:row>
      <xdr:rowOff>25400</xdr:rowOff>
    </xdr:from>
    <xdr:to>
      <xdr:col>11</xdr:col>
      <xdr:colOff>378882</xdr:colOff>
      <xdr:row>342</xdr:row>
      <xdr:rowOff>139700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529165</xdr:colOff>
      <xdr:row>342</xdr:row>
      <xdr:rowOff>141817</xdr:rowOff>
    </xdr:from>
    <xdr:to>
      <xdr:col>11</xdr:col>
      <xdr:colOff>378881</xdr:colOff>
      <xdr:row>364</xdr:row>
      <xdr:rowOff>65617</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264583</xdr:colOff>
      <xdr:row>10</xdr:row>
      <xdr:rowOff>74083</xdr:rowOff>
    </xdr:from>
    <xdr:to>
      <xdr:col>5</xdr:col>
      <xdr:colOff>105833</xdr:colOff>
      <xdr:row>24</xdr:row>
      <xdr:rowOff>150283</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508000</xdr:colOff>
      <xdr:row>59</xdr:row>
      <xdr:rowOff>178856</xdr:rowOff>
    </xdr:from>
    <xdr:to>
      <xdr:col>11</xdr:col>
      <xdr:colOff>2296584</xdr:colOff>
      <xdr:row>83</xdr:row>
      <xdr:rowOff>31749</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20</xdr:row>
      <xdr:rowOff>0</xdr:rowOff>
    </xdr:from>
    <xdr:to>
      <xdr:col>9</xdr:col>
      <xdr:colOff>495300</xdr:colOff>
      <xdr:row>20</xdr:row>
      <xdr:rowOff>0</xdr:rowOff>
    </xdr:to>
    <xdr:sp macro="" textlink="">
      <xdr:nvSpPr>
        <xdr:cNvPr id="29697" name="CommandButton1" hidden="1">
          <a:extLst>
            <a:ext uri="{63B3BB69-23CF-44E3-9099-C40C66FF867C}">
              <a14:compatExt xmlns:a14="http://schemas.microsoft.com/office/drawing/2010/main" spid="_x0000_s29697"/>
            </a:ext>
          </a:extLst>
        </xdr:cNvPr>
        <xdr:cNvSpPr/>
      </xdr:nvSpPr>
      <xdr:spPr>
        <a:xfrm>
          <a:off x="0" y="0"/>
          <a:ext cx="0" cy="0"/>
        </a:xfrm>
        <a:prstGeom prst="rect">
          <a:avLst/>
        </a:prstGeom>
      </xdr:spPr>
    </xdr:sp>
    <xdr:clientData fLocksWithSheet="0"/>
  </xdr:twoCellAnchor>
  <xdr:twoCellAnchor>
    <xdr:from>
      <xdr:col>1</xdr:col>
      <xdr:colOff>38100</xdr:colOff>
      <xdr:row>20</xdr:row>
      <xdr:rowOff>0</xdr:rowOff>
    </xdr:from>
    <xdr:to>
      <xdr:col>9</xdr:col>
      <xdr:colOff>495300</xdr:colOff>
      <xdr:row>20</xdr:row>
      <xdr:rowOff>0</xdr:rowOff>
    </xdr:to>
    <xdr:pic>
      <xdr:nvPicPr>
        <xdr:cNvPr id="2" name="CommandButto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3136900"/>
          <a:ext cx="61341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9</xdr:col>
      <xdr:colOff>585107</xdr:colOff>
      <xdr:row>0</xdr:row>
      <xdr:rowOff>149679</xdr:rowOff>
    </xdr:from>
    <xdr:to>
      <xdr:col>19</xdr:col>
      <xdr:colOff>446767</xdr:colOff>
      <xdr:row>12</xdr:row>
      <xdr:rowOff>126184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34032" y="149679"/>
          <a:ext cx="5767160" cy="2262505"/>
        </a:xfrm>
        <a:prstGeom prst="rect">
          <a:avLst/>
        </a:prstGeom>
        <a:noFill/>
      </xdr:spPr>
    </xdr:pic>
    <xdr:clientData/>
  </xdr:twoCellAnchor>
  <xdr:twoCellAnchor editAs="oneCell">
    <xdr:from>
      <xdr:col>9</xdr:col>
      <xdr:colOff>527955</xdr:colOff>
      <xdr:row>13</xdr:row>
      <xdr:rowOff>0</xdr:rowOff>
    </xdr:from>
    <xdr:to>
      <xdr:col>23</xdr:col>
      <xdr:colOff>23130</xdr:colOff>
      <xdr:row>35</xdr:row>
      <xdr:rowOff>13674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76880" y="2476500"/>
          <a:ext cx="7762875" cy="42046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276224</xdr:colOff>
      <xdr:row>20</xdr:row>
      <xdr:rowOff>57150</xdr:rowOff>
    </xdr:from>
    <xdr:to>
      <xdr:col>22</xdr:col>
      <xdr:colOff>299357</xdr:colOff>
      <xdr:row>35</xdr:row>
      <xdr:rowOff>149678</xdr:rowOff>
    </xdr:to>
    <xdr:pic>
      <xdr:nvPicPr>
        <xdr:cNvPr id="6" name="Picture 5" descr="Macintosh HD:Users:yyu:Dropbox:Publications:Reports:ReferenceModel5Report:Figures:framView.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5224" y="4139293"/>
          <a:ext cx="7044419" cy="2950028"/>
        </a:xfrm>
        <a:prstGeom prst="rect">
          <a:avLst/>
        </a:prstGeom>
        <a:noFill/>
        <a:ln>
          <a:noFill/>
        </a:ln>
      </xdr:spPr>
    </xdr:pic>
    <xdr:clientData/>
  </xdr:twoCellAnchor>
  <xdr:twoCellAnchor editAs="oneCell">
    <xdr:from>
      <xdr:col>9</xdr:col>
      <xdr:colOff>136070</xdr:colOff>
      <xdr:row>4</xdr:row>
      <xdr:rowOff>27214</xdr:rowOff>
    </xdr:from>
    <xdr:to>
      <xdr:col>22</xdr:col>
      <xdr:colOff>585106</xdr:colOff>
      <xdr:row>19</xdr:row>
      <xdr:rowOff>190499</xdr:rowOff>
    </xdr:to>
    <xdr:pic>
      <xdr:nvPicPr>
        <xdr:cNvPr id="7" name="Picture 6" descr="Macintosh HD:Users:yyu:Dropbox:Publications:Reports:ReferenceModel5Report:Figures:RM5 Array with interconnect cables.jpeg"/>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287" t="27751" r="15125" b="25117"/>
        <a:stretch/>
      </xdr:blipFill>
      <xdr:spPr bwMode="auto">
        <a:xfrm>
          <a:off x="10599963" y="789214"/>
          <a:ext cx="8055429" cy="3292928"/>
        </a:xfrm>
        <a:prstGeom prst="rect">
          <a:avLst/>
        </a:prstGeom>
        <a:noFill/>
        <a:ln>
          <a:solidFill>
            <a:schemeClr val="bg1">
              <a:lumMod val="75000"/>
            </a:schemeClr>
          </a:solid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199571</xdr:colOff>
      <xdr:row>5</xdr:row>
      <xdr:rowOff>72571</xdr:rowOff>
    </xdr:from>
    <xdr:to>
      <xdr:col>30</xdr:col>
      <xdr:colOff>113392</xdr:colOff>
      <xdr:row>33</xdr:row>
      <xdr:rowOff>143287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542" t="10025" r="33691" b="11778"/>
        <a:stretch>
          <a:fillRect/>
        </a:stretch>
      </xdr:blipFill>
      <xdr:spPr bwMode="auto">
        <a:xfrm>
          <a:off x="20374428" y="979714"/>
          <a:ext cx="6626678" cy="5150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xdr:colOff>
      <xdr:row>68</xdr:row>
      <xdr:rowOff>178857</xdr:rowOff>
    </xdr:from>
    <xdr:to>
      <xdr:col>15</xdr:col>
      <xdr:colOff>878417</xdr:colOff>
      <xdr:row>87</xdr:row>
      <xdr:rowOff>52915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21167</xdr:colOff>
      <xdr:row>56</xdr:row>
      <xdr:rowOff>57147</xdr:rowOff>
    </xdr:from>
    <xdr:to>
      <xdr:col>25</xdr:col>
      <xdr:colOff>105834</xdr:colOff>
      <xdr:row>70</xdr:row>
      <xdr:rowOff>143931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116414</xdr:colOff>
      <xdr:row>36</xdr:row>
      <xdr:rowOff>46567</xdr:rowOff>
    </xdr:from>
    <xdr:to>
      <xdr:col>23</xdr:col>
      <xdr:colOff>550332</xdr:colOff>
      <xdr:row>51</xdr:row>
      <xdr:rowOff>74083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583405</xdr:colOff>
      <xdr:row>31</xdr:row>
      <xdr:rowOff>146445</xdr:rowOff>
    </xdr:from>
    <xdr:to>
      <xdr:col>15</xdr:col>
      <xdr:colOff>202406</xdr:colOff>
      <xdr:row>52</xdr:row>
      <xdr:rowOff>35719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Tidal%20Energy%20Reference%20Model%201\Tidal%20Performanc%20&amp;%20Economic%20Model\3-31-2011%20Final%20Results\Previous%20Work\MCT%20Model%20Short%20MP%2004-29-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rojects\SnoPUD\Resource%20Measurements\AI_AH_ADCP_new\AI_AH_1_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rko\AppData\Local\Microsoft\Windows\Temporary%20Internet%20Files\Content.Outlook\HQ0EO667\OCT%20Cost%20JE%206-10-2012v3%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eporting"/>
      <sheetName val="Energy Model"/>
      <sheetName val="COE Model"/>
      <sheetName val="Cost Functions"/>
    </sheetNames>
    <sheetDataSet>
      <sheetData sheetId="0" refreshError="1">
        <row r="4">
          <cell r="K4">
            <v>55</v>
          </cell>
        </row>
        <row r="6">
          <cell r="K6">
            <v>0.95</v>
          </cell>
        </row>
        <row r="9">
          <cell r="K9">
            <v>9000</v>
          </cell>
        </row>
        <row r="10">
          <cell r="E10">
            <v>17</v>
          </cell>
        </row>
        <row r="11">
          <cell r="E11">
            <v>0.45</v>
          </cell>
          <cell r="K11">
            <v>22750</v>
          </cell>
        </row>
        <row r="12">
          <cell r="E12">
            <v>0.7</v>
          </cell>
        </row>
        <row r="13">
          <cell r="K13">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I_AH_ADCP_1_2007"/>
    </sheetNames>
    <sheetDataSet>
      <sheetData sheetId="0">
        <row r="2">
          <cell r="B2">
            <v>1024</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aphs"/>
      <sheetName val="CAPEX_S-Curve"/>
      <sheetName val="Report"/>
      <sheetName val="DB"/>
      <sheetName val="Inupt Screen Database"/>
      <sheetName val="Tables"/>
      <sheetName val="CAPEX_MonteCarlo_simulation"/>
      <sheetName val="Econ IO"/>
      <sheetName val="Sensitivity"/>
      <sheetName val="Energy IO"/>
      <sheetName val="Energy Model"/>
      <sheetName val="Non-Utility Model"/>
      <sheetName val="Non-Utility Model no taxes"/>
      <sheetName val="Utility Model"/>
      <sheetName val="Sheet1"/>
    </sheetNames>
    <sheetDataSet>
      <sheetData sheetId="0" refreshError="1">
        <row r="10">
          <cell r="E10">
            <v>1</v>
          </cell>
        </row>
        <row r="11">
          <cell r="E11">
            <v>350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grainger.com/product/PARKER-GRESEN-Pressure-Relief-Valve-38D924?s_pp=false&amp;picUrl=//static.grainger.com/rp/s/is/image/Grainger/38D923_AS01?$smthumb$"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ale.jenne@nrel.gov" TargetMode="External"/></Relationships>
</file>

<file path=xl/worksheets/_rels/sheet31.xml.rels><?xml version="1.0" encoding="UTF-8" standalone="yes"?>
<Relationships xmlns="http://schemas.openxmlformats.org/package/2006/relationships"><Relationship Id="rId2" Type="http://schemas.openxmlformats.org/officeDocument/2006/relationships/hyperlink" Target="http://www.sealtd.co.uk/files/34seaclam.pdf" TargetMode="External"/><Relationship Id="rId1" Type="http://schemas.openxmlformats.org/officeDocument/2006/relationships/hyperlink" Target="http://www.mech.ed.ac.uk/research/wavepower/turbine/design%20&amp;%20construction%20of%20vpt.htm"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0"/>
  <sheetViews>
    <sheetView topLeftCell="A10" zoomScale="80" zoomScaleNormal="80" zoomScalePageLayoutView="80" workbookViewId="0">
      <selection activeCell="F45" sqref="F45"/>
    </sheetView>
  </sheetViews>
  <sheetFormatPr defaultColWidth="8.85546875" defaultRowHeight="15" x14ac:dyDescent="0.25"/>
  <cols>
    <col min="1" max="1" width="35.7109375" customWidth="1"/>
    <col min="2" max="2" width="30.85546875" customWidth="1"/>
    <col min="3" max="3" width="21.28515625" customWidth="1"/>
    <col min="4" max="5" width="14.7109375" customWidth="1"/>
    <col min="6" max="7" width="12.7109375" customWidth="1"/>
    <col min="8" max="8" width="35.7109375" customWidth="1"/>
    <col min="9" max="14" width="12.7109375" customWidth="1"/>
  </cols>
  <sheetData>
    <row r="2" spans="1:14" x14ac:dyDescent="0.25">
      <c r="A2" s="216" t="s">
        <v>190</v>
      </c>
      <c r="B2">
        <v>0</v>
      </c>
      <c r="C2" t="s">
        <v>191</v>
      </c>
      <c r="D2" s="211"/>
      <c r="E2" s="211"/>
    </row>
    <row r="3" spans="1:14" x14ac:dyDescent="0.25">
      <c r="A3" s="211" t="s">
        <v>189</v>
      </c>
      <c r="B3" s="211">
        <v>1000</v>
      </c>
      <c r="C3" s="211"/>
      <c r="D3" s="209"/>
      <c r="E3" s="203"/>
    </row>
    <row r="4" spans="1:14" x14ac:dyDescent="0.25">
      <c r="A4" s="201" t="str">
        <f>IF(B3=1,"Total Cost ($)",IF(B3=1000,"Total Cost in Thousands ($)",IF(B3=1000000,"Total Cost in Millions ($)","CostBasisnotspecified")))</f>
        <v>Total Cost in Thousands ($)</v>
      </c>
      <c r="B4" s="203"/>
      <c r="C4" s="203"/>
      <c r="D4" s="203"/>
      <c r="E4" s="203"/>
    </row>
    <row r="5" spans="1:14" x14ac:dyDescent="0.25">
      <c r="A5" s="1220"/>
      <c r="B5" s="278" t="s">
        <v>97</v>
      </c>
      <c r="C5" s="279" t="s">
        <v>87</v>
      </c>
      <c r="D5" s="280" t="s">
        <v>88</v>
      </c>
      <c r="E5" s="278" t="s">
        <v>89</v>
      </c>
    </row>
    <row r="6" spans="1:14" x14ac:dyDescent="0.25">
      <c r="A6" s="1221"/>
      <c r="B6" s="278" t="s">
        <v>79</v>
      </c>
      <c r="C6" s="278" t="s">
        <v>79</v>
      </c>
      <c r="D6" s="278" t="s">
        <v>79</v>
      </c>
      <c r="E6" s="278" t="s">
        <v>79</v>
      </c>
    </row>
    <row r="7" spans="1:14" x14ac:dyDescent="0.25">
      <c r="A7" s="212" t="s">
        <v>99</v>
      </c>
      <c r="B7" s="213">
        <f>ROUND('CBS (Total)'!J4/B3,-B2)</f>
        <v>3945</v>
      </c>
      <c r="C7" s="213">
        <f>ROUND('CBS (Total)'!L4/B3,-B2)</f>
        <v>8191</v>
      </c>
      <c r="D7" s="213">
        <f>ROUND('CBS (Total)'!N4/B3,-B2)</f>
        <v>10161</v>
      </c>
      <c r="E7" s="213">
        <f>ROUND('CBS (Total)'!P4/B3,-B2)</f>
        <v>10799</v>
      </c>
    </row>
    <row r="8" spans="1:14" x14ac:dyDescent="0.25">
      <c r="A8" s="212" t="s">
        <v>10</v>
      </c>
      <c r="B8" s="213">
        <f>ROUND('CBS (Total)'!J12/B3,-B2)</f>
        <v>1087</v>
      </c>
      <c r="C8" s="213">
        <f>ROUND('CBS (Total)'!L12/B3,-B2)</f>
        <v>7608</v>
      </c>
      <c r="D8" s="213">
        <f>ROUND('CBS (Total)'!N12/B3,-B2)</f>
        <v>14186</v>
      </c>
      <c r="E8" s="213">
        <f>ROUND('CBS (Total)'!P12/B3,-B2)</f>
        <v>33190</v>
      </c>
    </row>
    <row r="9" spans="1:14" x14ac:dyDescent="0.25">
      <c r="A9" s="212" t="s">
        <v>18</v>
      </c>
      <c r="B9" s="213">
        <f>ROUND('CBS (Total)'!J18/B3,-B2)</f>
        <v>1264</v>
      </c>
      <c r="C9" s="213">
        <f>ROUND('CBS (Total)'!L18/B3,-B2)</f>
        <v>8330</v>
      </c>
      <c r="D9" s="213">
        <f>ROUND('CBS (Total)'!N18/B3,-B2)</f>
        <v>37594</v>
      </c>
      <c r="E9" s="213">
        <f>ROUND('CBS (Total)'!P18/B3,-B2)</f>
        <v>72750</v>
      </c>
    </row>
    <row r="10" spans="1:14" x14ac:dyDescent="0.25">
      <c r="A10" s="212" t="s">
        <v>26</v>
      </c>
      <c r="B10" s="213">
        <f>ROUND('CBS (Total)'!J23/B3,-B2)</f>
        <v>3817</v>
      </c>
      <c r="C10" s="213">
        <f>ROUND('CBS (Total)'!L23/B3,-B2)</f>
        <v>26838</v>
      </c>
      <c r="D10" s="213">
        <f>ROUND('CBS (Total)'!N23/B3,-B2)</f>
        <v>118871</v>
      </c>
      <c r="E10" s="213">
        <f>ROUND('CBS (Total)'!P23/B3,-B2)</f>
        <v>230967</v>
      </c>
    </row>
    <row r="11" spans="1:14" x14ac:dyDescent="0.25">
      <c r="A11" s="212" t="s">
        <v>494</v>
      </c>
      <c r="B11" s="213">
        <f>ROUND('CBS (Total)'!J30/B3,-B2)</f>
        <v>588</v>
      </c>
      <c r="C11" s="213">
        <f>ROUND('CBS (Total)'!L30/B3,-B2)</f>
        <v>4723</v>
      </c>
      <c r="D11" s="213">
        <f>ROUND('CBS (Total)'!N30/B3,-B2)</f>
        <v>20734</v>
      </c>
      <c r="E11" s="213">
        <f>ROUND('CBS (Total)'!P30/B3,-B2)</f>
        <v>39382</v>
      </c>
    </row>
    <row r="12" spans="1:14" s="210" customFormat="1" x14ac:dyDescent="0.25">
      <c r="A12" s="212" t="s">
        <v>71</v>
      </c>
      <c r="B12" s="213">
        <f>ROUND('CBS (Total)'!J41/B3,-B2)</f>
        <v>441</v>
      </c>
      <c r="C12" s="213">
        <f>ROUND('CBS (Total)'!L41/B3,-B2)</f>
        <v>3156</v>
      </c>
      <c r="D12" s="213">
        <f>ROUND('CBS (Total)'!N41/B3,-B2)</f>
        <v>13961</v>
      </c>
      <c r="E12" s="213">
        <f>ROUND('CBS (Total)'!P41/B3,-B2)</f>
        <v>27035</v>
      </c>
    </row>
    <row r="13" spans="1:14" x14ac:dyDescent="0.25">
      <c r="A13" s="212" t="s">
        <v>46</v>
      </c>
      <c r="B13" s="213">
        <f>ROUND('CBS (Total)'!J42/B3,-B2)</f>
        <v>5909</v>
      </c>
      <c r="C13" s="213">
        <f>ROUND('CBS (Total)'!L42/B3,-B2)</f>
        <v>9082</v>
      </c>
      <c r="D13" s="213">
        <f>ROUND('CBS (Total)'!N42/B3,-B2)</f>
        <v>21531</v>
      </c>
      <c r="E13" s="213">
        <f>ROUND('CBS (Total)'!P42/B3,-B2)</f>
        <v>37860</v>
      </c>
    </row>
    <row r="14" spans="1:14" x14ac:dyDescent="0.25">
      <c r="A14" s="212" t="s">
        <v>142</v>
      </c>
      <c r="B14" s="213">
        <f>ROUND('CBS (Total)'!J50/B3,-B2)</f>
        <v>1705</v>
      </c>
      <c r="C14" s="213">
        <f>ROUND('CBS (Total)'!L50/B3,-B2)</f>
        <v>6793</v>
      </c>
      <c r="D14" s="213">
        <f>ROUND('CBS (Total)'!N50/B3,-B2)</f>
        <v>23704</v>
      </c>
      <c r="E14" s="213">
        <f>ROUND('CBS (Total)'!P50/B3,-B2)</f>
        <v>45198</v>
      </c>
    </row>
    <row r="15" spans="1:14" x14ac:dyDescent="0.25">
      <c r="A15" s="212" t="s">
        <v>80</v>
      </c>
      <c r="B15" s="213">
        <f>SUM(B7:B14)</f>
        <v>18756</v>
      </c>
      <c r="C15" s="213">
        <f>SUM(C7:C14)</f>
        <v>74721</v>
      </c>
      <c r="D15" s="213">
        <f>SUM(D7:D14)</f>
        <v>260742</v>
      </c>
      <c r="E15" s="213">
        <f>SUM(E7:E14)</f>
        <v>497181</v>
      </c>
    </row>
    <row r="16" spans="1:14" s="214" customFormat="1" x14ac:dyDescent="0.25">
      <c r="A16" s="202"/>
      <c r="B16" s="205"/>
      <c r="C16" s="205"/>
      <c r="D16" s="205"/>
      <c r="E16" s="205"/>
      <c r="J16" s="229"/>
      <c r="L16" s="229"/>
      <c r="N16" s="229"/>
    </row>
    <row r="17" spans="1:14" s="214" customFormat="1" x14ac:dyDescent="0.25">
      <c r="A17" s="214" t="s">
        <v>190</v>
      </c>
      <c r="B17">
        <v>1</v>
      </c>
      <c r="C17" s="214" t="s">
        <v>191</v>
      </c>
      <c r="D17" s="205"/>
      <c r="E17" s="205"/>
      <c r="N17" s="229"/>
    </row>
    <row r="19" spans="1:14" s="214" customFormat="1" x14ac:dyDescent="0.25">
      <c r="A19" s="238" t="s">
        <v>0</v>
      </c>
    </row>
    <row r="20" spans="1:14" x14ac:dyDescent="0.25">
      <c r="A20" s="206"/>
      <c r="B20" s="278" t="s">
        <v>97</v>
      </c>
      <c r="C20" s="279" t="s">
        <v>87</v>
      </c>
      <c r="D20" s="280" t="s">
        <v>88</v>
      </c>
      <c r="E20" s="278" t="s">
        <v>89</v>
      </c>
    </row>
    <row r="21" spans="1:14" x14ac:dyDescent="0.25">
      <c r="A21" s="204"/>
      <c r="B21" s="278" t="s">
        <v>192</v>
      </c>
      <c r="C21" s="278" t="s">
        <v>192</v>
      </c>
      <c r="D21" s="278" t="s">
        <v>192</v>
      </c>
      <c r="E21" s="278" t="s">
        <v>192</v>
      </c>
    </row>
    <row r="22" spans="1:14" x14ac:dyDescent="0.25">
      <c r="A22" s="212" t="s">
        <v>99</v>
      </c>
      <c r="B22" s="215">
        <f>ROUND('CBS ($ per kW)'!J5,-B17)</f>
        <v>10950</v>
      </c>
      <c r="C22" s="215">
        <f>ROUND('CBS ($ per kW)'!L5,-B17)</f>
        <v>2270</v>
      </c>
      <c r="D22" s="215">
        <f>ROUND('CBS ($ per kW)'!N5,-B17)</f>
        <v>560</v>
      </c>
      <c r="E22" s="215">
        <f>ROUND('CBS ($ per kW)'!P5,-B17)</f>
        <v>300</v>
      </c>
    </row>
    <row r="23" spans="1:14" x14ac:dyDescent="0.25">
      <c r="A23" s="212" t="s">
        <v>10</v>
      </c>
      <c r="B23" s="215">
        <f>ROUND('CBS ($ per kW)'!J13,-B17)</f>
        <v>3020</v>
      </c>
      <c r="C23" s="215">
        <f>ROUND('CBS ($ per kW)'!L13,-B17)</f>
        <v>2110</v>
      </c>
      <c r="D23" s="215">
        <f>ROUND('CBS ($ per kW)'!N13,-B17)</f>
        <v>790</v>
      </c>
      <c r="E23" s="215">
        <f>ROUND('CBS ($ per kW)'!P13,-B17)</f>
        <v>920</v>
      </c>
    </row>
    <row r="24" spans="1:14" x14ac:dyDescent="0.25">
      <c r="A24" s="212" t="s">
        <v>18</v>
      </c>
      <c r="B24" s="215">
        <f>ROUND('CBS ($ per kW)'!J19,-B17)</f>
        <v>3510</v>
      </c>
      <c r="C24" s="215">
        <f>ROUND('CBS ($ per kW)'!L19,-B17)</f>
        <v>2310</v>
      </c>
      <c r="D24" s="215">
        <f>ROUND('CBS ($ per kW)'!N19,-B17)</f>
        <v>2090</v>
      </c>
      <c r="E24" s="215">
        <f>ROUND('CBS ($ per kW)'!P19,-B17)</f>
        <v>2020</v>
      </c>
    </row>
    <row r="25" spans="1:14" x14ac:dyDescent="0.25">
      <c r="A25" s="212" t="s">
        <v>26</v>
      </c>
      <c r="B25" s="215">
        <f>ROUND('CBS ($ per kW)'!J24,-B17)</f>
        <v>10590</v>
      </c>
      <c r="C25" s="215">
        <f>ROUND('CBS ($ per kW)'!L24,-B17)</f>
        <v>7450</v>
      </c>
      <c r="D25" s="215">
        <f>ROUND('CBS ($ per kW)'!N24,-B17)</f>
        <v>6600</v>
      </c>
      <c r="E25" s="215">
        <f>ROUND('CBS ($ per kW)'!P24,-B17)</f>
        <v>6410</v>
      </c>
    </row>
    <row r="26" spans="1:14" x14ac:dyDescent="0.25">
      <c r="A26" s="212" t="s">
        <v>494</v>
      </c>
      <c r="B26" s="215">
        <f>ROUND('CBS ($ per kW)'!J31,-B17)</f>
        <v>1630</v>
      </c>
      <c r="C26" s="215">
        <f>ROUND('CBS ($ per kW)'!L31,-B17)</f>
        <v>1310</v>
      </c>
      <c r="D26" s="215">
        <f>ROUND('CBS ($ per kW)'!N31,-B17)</f>
        <v>1150</v>
      </c>
      <c r="E26" s="215">
        <f>ROUND('CBS ($ per kW)'!P31,-B17)</f>
        <v>1090</v>
      </c>
    </row>
    <row r="27" spans="1:14" x14ac:dyDescent="0.25">
      <c r="A27" s="212" t="s">
        <v>71</v>
      </c>
      <c r="B27" s="215">
        <f>ROUND('CBS ($ per kW)'!J42,-B17)</f>
        <v>1220</v>
      </c>
      <c r="C27" s="215">
        <f>ROUND('CBS ($ per kW)'!L42,-B17)</f>
        <v>880</v>
      </c>
      <c r="D27" s="215">
        <f>ROUND('CBS ($ per kW)'!N42,-B17)</f>
        <v>770</v>
      </c>
      <c r="E27" s="215">
        <f>ROUND('CBS ($ per kW)'!P42,-B17)</f>
        <v>750</v>
      </c>
    </row>
    <row r="28" spans="1:14" x14ac:dyDescent="0.25">
      <c r="A28" s="212" t="s">
        <v>46</v>
      </c>
      <c r="B28" s="215">
        <f>ROUND('CBS ($ per kW)'!J43,-B17)</f>
        <v>16400</v>
      </c>
      <c r="C28" s="215">
        <f>ROUND('CBS ($ per kW)'!L43,-B17)</f>
        <v>2520</v>
      </c>
      <c r="D28" s="215">
        <f>ROUND('CBS ($ per kW)'!N43,-B17)</f>
        <v>1200</v>
      </c>
      <c r="E28" s="215">
        <f>ROUND('CBS ($ per kW)'!P43,-B17)</f>
        <v>1050</v>
      </c>
    </row>
    <row r="29" spans="1:14" x14ac:dyDescent="0.25">
      <c r="A29" s="212" t="s">
        <v>142</v>
      </c>
      <c r="B29" s="215">
        <f>ROUND('CBS ($ per kW)'!J51,-B17)</f>
        <v>4730</v>
      </c>
      <c r="C29" s="215">
        <f>ROUND('CBS ($ per kW)'!L51,-B17)</f>
        <v>1890</v>
      </c>
      <c r="D29" s="215">
        <f>ROUND('CBS ($ per kW)'!N51,-B17)</f>
        <v>1320</v>
      </c>
      <c r="E29" s="215">
        <f>ROUND('CBS ($ per kW)'!P51,-B17)</f>
        <v>1250</v>
      </c>
    </row>
    <row r="30" spans="1:14" x14ac:dyDescent="0.25">
      <c r="A30" s="212" t="s">
        <v>80</v>
      </c>
      <c r="B30" s="207">
        <f>SUM(B22:B29)</f>
        <v>52050</v>
      </c>
      <c r="C30" s="207">
        <f>SUM(C22:C29)</f>
        <v>20740</v>
      </c>
      <c r="D30" s="207">
        <f>SUM(D22:D29)</f>
        <v>14480</v>
      </c>
      <c r="E30" s="207">
        <f>SUM(E22:E29)</f>
        <v>13790</v>
      </c>
    </row>
    <row r="31" spans="1:14" s="253" customFormat="1" x14ac:dyDescent="0.25">
      <c r="A31" s="202"/>
      <c r="B31" s="261"/>
      <c r="C31" s="261"/>
      <c r="D31" s="261"/>
      <c r="E31" s="261"/>
    </row>
    <row r="32" spans="1:14" s="253" customFormat="1" x14ac:dyDescent="0.25">
      <c r="A32" s="202"/>
      <c r="B32" s="261"/>
      <c r="C32" s="261"/>
      <c r="D32" s="261"/>
      <c r="E32" s="261"/>
    </row>
    <row r="33" spans="1:7" s="253" customFormat="1" x14ac:dyDescent="0.25">
      <c r="A33" s="202"/>
      <c r="B33" s="261"/>
      <c r="C33" s="261"/>
      <c r="D33" s="261"/>
      <c r="E33" s="261"/>
    </row>
    <row r="34" spans="1:7" s="253" customFormat="1" x14ac:dyDescent="0.25">
      <c r="A34" t="s">
        <v>0</v>
      </c>
      <c r="B34"/>
      <c r="C34"/>
      <c r="D34"/>
      <c r="E34"/>
      <c r="F34"/>
      <c r="G34"/>
    </row>
    <row r="35" spans="1:7" s="253" customFormat="1" x14ac:dyDescent="0.25">
      <c r="A35" s="224"/>
      <c r="B35" s="1222" t="s">
        <v>87</v>
      </c>
      <c r="C35" s="1223"/>
      <c r="D35" s="1222" t="s">
        <v>88</v>
      </c>
      <c r="E35" s="1223"/>
      <c r="F35" s="1222" t="s">
        <v>89</v>
      </c>
      <c r="G35" s="1223"/>
    </row>
    <row r="36" spans="1:7" s="253" customFormat="1" ht="14.45" x14ac:dyDescent="0.3">
      <c r="A36" s="222"/>
      <c r="B36" s="223" t="s">
        <v>193</v>
      </c>
      <c r="C36" s="223" t="s">
        <v>194</v>
      </c>
      <c r="D36" s="223" t="s">
        <v>193</v>
      </c>
      <c r="E36" s="223" t="s">
        <v>194</v>
      </c>
      <c r="F36" s="223" t="s">
        <v>193</v>
      </c>
      <c r="G36" s="223" t="s">
        <v>194</v>
      </c>
    </row>
    <row r="37" spans="1:7" s="253" customFormat="1" ht="14.45" x14ac:dyDescent="0.3">
      <c r="A37" s="219" t="s">
        <v>99</v>
      </c>
      <c r="B37" s="221">
        <f>'CBS (CoE)'!L6</f>
        <v>10.040592045044026</v>
      </c>
      <c r="C37" s="220">
        <f t="shared" ref="C37:C44" si="0">B37/B$45</f>
        <v>0.19828561950339429</v>
      </c>
      <c r="D37" s="221">
        <f>'CBS (CoE)'!N6</f>
        <v>2.4911735319915005</v>
      </c>
      <c r="E37" s="231">
        <f t="shared" ref="E37:E44" si="1">D37/D$45</f>
        <v>7.397268123660504E-2</v>
      </c>
      <c r="F37" s="218">
        <f>'CBS (CoE)'!P6</f>
        <v>1.3237985110466268</v>
      </c>
      <c r="G37" s="231">
        <f t="shared" ref="G37:G44" si="2">F37/F$45</f>
        <v>4.1082784208446049E-2</v>
      </c>
    </row>
    <row r="38" spans="1:7" s="253" customFormat="1" ht="14.45" x14ac:dyDescent="0.3">
      <c r="A38" s="219" t="s">
        <v>10</v>
      </c>
      <c r="B38" s="221">
        <f>'CBS (CoE)'!L14</f>
        <v>9.3264492587474557</v>
      </c>
      <c r="C38" s="231">
        <f t="shared" si="0"/>
        <v>0.18418244270272044</v>
      </c>
      <c r="D38" s="221">
        <f>'CBS (CoE)'!N14</f>
        <v>3.4780496631070292</v>
      </c>
      <c r="E38" s="231">
        <f t="shared" si="1"/>
        <v>0.1032768916938604</v>
      </c>
      <c r="F38" s="218">
        <f>'CBS (CoE)'!P14</f>
        <v>4.0686757478684017</v>
      </c>
      <c r="G38" s="231">
        <f t="shared" si="2"/>
        <v>0.12626734836834089</v>
      </c>
    </row>
    <row r="39" spans="1:7" s="253" customFormat="1" ht="14.45" x14ac:dyDescent="0.3">
      <c r="A39" s="219" t="s">
        <v>18</v>
      </c>
      <c r="B39" s="221">
        <f>'CBS (CoE)'!L20</f>
        <v>10.211785639379226</v>
      </c>
      <c r="C39" s="231">
        <f t="shared" si="0"/>
        <v>0.20166641893787815</v>
      </c>
      <c r="D39" s="221">
        <f>'CBS (CoE)'!N20</f>
        <v>9.21717865164727</v>
      </c>
      <c r="E39" s="231">
        <f t="shared" si="1"/>
        <v>0.27369406809411739</v>
      </c>
      <c r="F39" s="218">
        <f>'CBS (CoE)'!P20</f>
        <v>8.918177688786491</v>
      </c>
      <c r="G39" s="231">
        <f t="shared" si="2"/>
        <v>0.27676686932614986</v>
      </c>
    </row>
    <row r="40" spans="1:7" s="253" customFormat="1" ht="14.45" x14ac:dyDescent="0.3">
      <c r="A40" s="219" t="s">
        <v>26</v>
      </c>
      <c r="B40" s="221">
        <f>'CBS (CoE)'!L26</f>
        <v>11.092888310171286</v>
      </c>
      <c r="C40" s="231">
        <f t="shared" si="0"/>
        <v>0.21906678618119571</v>
      </c>
      <c r="D40" s="221">
        <f>'CBS (CoE)'!N26</f>
        <v>9.8265212582966264</v>
      </c>
      <c r="E40" s="231">
        <f t="shared" si="1"/>
        <v>0.29178783226859506</v>
      </c>
      <c r="F40" s="218">
        <f>'CBS (CoE)'!P26</f>
        <v>9.54645931413204</v>
      </c>
      <c r="G40" s="231">
        <f t="shared" si="2"/>
        <v>0.2962649713566437</v>
      </c>
    </row>
    <row r="41" spans="1:7" s="253" customFormat="1" ht="14.45" x14ac:dyDescent="0.3">
      <c r="A41" s="219" t="s">
        <v>494</v>
      </c>
      <c r="B41" s="221">
        <f>'CBS (CoE)'!L31</f>
        <v>7.9234916501223465</v>
      </c>
      <c r="C41" s="231">
        <f t="shared" si="0"/>
        <v>0.15647627584371121</v>
      </c>
      <c r="D41" s="221">
        <f>'CBS (CoE)'!N31</f>
        <v>7.0189437559261636</v>
      </c>
      <c r="E41" s="231">
        <f t="shared" si="1"/>
        <v>0.20841988019185367</v>
      </c>
      <c r="F41" s="218">
        <f>'CBS (CoE)'!P31</f>
        <v>6.8188995100943144</v>
      </c>
      <c r="G41" s="231">
        <f t="shared" si="2"/>
        <v>0.21161783668331693</v>
      </c>
    </row>
    <row r="42" spans="1:7" s="253" customFormat="1" ht="14.45" x14ac:dyDescent="0.3">
      <c r="A42" s="219" t="s">
        <v>71</v>
      </c>
      <c r="B42" s="221">
        <f>'CBS (CoE)'!L41</f>
        <v>0.81634651465383357</v>
      </c>
      <c r="C42" s="231">
        <f t="shared" si="0"/>
        <v>1.6121536823863893E-2</v>
      </c>
      <c r="D42" s="221">
        <f>'CBS (CoE)'!N41</f>
        <v>0.63918848126401306</v>
      </c>
      <c r="E42" s="231">
        <f t="shared" si="1"/>
        <v>1.8980004872183209E-2</v>
      </c>
      <c r="F42" s="218">
        <f>'CBS (CoE)'!P41</f>
        <v>0.57526963313761148</v>
      </c>
      <c r="G42" s="231">
        <f t="shared" si="2"/>
        <v>1.7852927014685237E-2</v>
      </c>
    </row>
    <row r="43" spans="1:7" s="253" customFormat="1" ht="14.45" x14ac:dyDescent="0.3">
      <c r="A43" s="219" t="s">
        <v>46</v>
      </c>
      <c r="B43" s="221">
        <f>'CBS (CoE)'!L42</f>
        <v>0.10222468515441127</v>
      </c>
      <c r="C43" s="231">
        <f t="shared" si="0"/>
        <v>2.0187738863852024E-3</v>
      </c>
      <c r="D43" s="221">
        <f>'CBS (CoE)'!N42</f>
        <v>6.0888839917026386E-2</v>
      </c>
      <c r="E43" s="231">
        <f t="shared" si="1"/>
        <v>1.8080276978730495E-3</v>
      </c>
      <c r="F43" s="218">
        <f>'CBS (CoE)'!P42</f>
        <v>4.8711071933621099E-2</v>
      </c>
      <c r="G43" s="231">
        <f t="shared" si="2"/>
        <v>1.5117001870842584E-3</v>
      </c>
    </row>
    <row r="44" spans="1:7" s="253" customFormat="1" ht="14.45" x14ac:dyDescent="0.3">
      <c r="A44" s="219" t="s">
        <v>142</v>
      </c>
      <c r="B44" s="221">
        <f>'CBS (CoE)'!L50</f>
        <v>1.1232376833016331</v>
      </c>
      <c r="C44" s="231">
        <f t="shared" si="0"/>
        <v>2.21821461208511E-2</v>
      </c>
      <c r="D44" s="221">
        <f>'CBS (CoE)'!N50</f>
        <v>0.94499560624828383</v>
      </c>
      <c r="E44" s="231">
        <f t="shared" si="1"/>
        <v>2.8060613944912102E-2</v>
      </c>
      <c r="F44" s="218">
        <f>'CBS (CoE)'!P50</f>
        <v>0.92271534661661525</v>
      </c>
      <c r="G44" s="231">
        <f t="shared" si="2"/>
        <v>2.8635562855332988E-2</v>
      </c>
    </row>
    <row r="45" spans="1:7" s="253" customFormat="1" ht="14.45" x14ac:dyDescent="0.3">
      <c r="A45" s="219" t="s">
        <v>80</v>
      </c>
      <c r="B45" s="221">
        <f>SUM(B37:B44)</f>
        <v>50.637015786574217</v>
      </c>
      <c r="C45" s="217"/>
      <c r="D45" s="221">
        <f>SUM(D37:D44)</f>
        <v>33.676939788397917</v>
      </c>
      <c r="E45" s="217"/>
      <c r="F45" s="221">
        <f>SUM(F37:F44)</f>
        <v>32.222706823615724</v>
      </c>
      <c r="G45" s="217"/>
    </row>
    <row r="46" spans="1:7" s="253" customFormat="1" ht="14.45" x14ac:dyDescent="0.3">
      <c r="A46" s="202"/>
      <c r="B46" s="261"/>
      <c r="C46" s="261"/>
      <c r="D46" s="261"/>
      <c r="E46" s="261"/>
    </row>
    <row r="47" spans="1:7" ht="14.45" x14ac:dyDescent="0.3">
      <c r="A47" t="s">
        <v>190</v>
      </c>
      <c r="B47">
        <v>0</v>
      </c>
      <c r="C47" t="s">
        <v>191</v>
      </c>
    </row>
    <row r="48" spans="1:7" ht="14.45" x14ac:dyDescent="0.3">
      <c r="A48" t="s">
        <v>189</v>
      </c>
      <c r="B48">
        <v>1000</v>
      </c>
    </row>
    <row r="49" spans="1:5" ht="14.45" x14ac:dyDescent="0.3">
      <c r="A49" s="237" t="str">
        <f>IF(B48=1,"Annual Cost ($)",IF(B48=1000,"Annual Cost in Thousands ($)",IF(B48=1000000,"Annual Cost in Millions ($)","CostBasisnotspecified")))</f>
        <v>Annual Cost in Thousands ($)</v>
      </c>
    </row>
    <row r="50" spans="1:5" x14ac:dyDescent="0.25">
      <c r="A50" s="1226"/>
      <c r="B50" s="278" t="s">
        <v>97</v>
      </c>
      <c r="C50" s="279" t="s">
        <v>87</v>
      </c>
      <c r="D50" s="280" t="s">
        <v>88</v>
      </c>
      <c r="E50" s="278" t="s">
        <v>89</v>
      </c>
    </row>
    <row r="51" spans="1:5" x14ac:dyDescent="0.25">
      <c r="A51" s="1227"/>
      <c r="B51" s="278" t="s">
        <v>197</v>
      </c>
      <c r="C51" s="278" t="s">
        <v>197</v>
      </c>
      <c r="D51" s="278" t="s">
        <v>197</v>
      </c>
      <c r="E51" s="278" t="s">
        <v>197</v>
      </c>
    </row>
    <row r="52" spans="1:5" ht="14.45" x14ac:dyDescent="0.3">
      <c r="A52" s="225" t="s">
        <v>51</v>
      </c>
      <c r="B52" s="226">
        <f>ROUND('CBS (Total)'!J55/B48,-B47)</f>
        <v>262</v>
      </c>
      <c r="C52" s="226">
        <f>ROUND('CBS (Total)'!L55/B48,-B47)</f>
        <v>1195</v>
      </c>
      <c r="D52" s="226">
        <f>ROUND('CBS (Total)'!N55/B48,-B47)</f>
        <v>2269</v>
      </c>
      <c r="E52" s="226">
        <f>ROUND('CBS (Total)'!P55/B48,-B47)</f>
        <v>2206</v>
      </c>
    </row>
    <row r="53" spans="1:5" ht="14.45" x14ac:dyDescent="0.3">
      <c r="A53" s="225" t="s">
        <v>196</v>
      </c>
      <c r="B53" s="226">
        <f>ROUND('CBS (Total)'!J56/B48,-B47)</f>
        <v>465</v>
      </c>
      <c r="C53" s="226">
        <f>ROUND('CBS (Total)'!L56/B48,-B47)</f>
        <v>2085</v>
      </c>
      <c r="D53" s="226">
        <f>ROUND('CBS (Total)'!N56/B48,-B47)</f>
        <v>1785</v>
      </c>
      <c r="E53" s="226">
        <f>ROUND('CBS (Total)'!P56/B48,-B47)</f>
        <v>1785</v>
      </c>
    </row>
    <row r="54" spans="1:5" ht="14.45" x14ac:dyDescent="0.3">
      <c r="A54" s="225" t="s">
        <v>53</v>
      </c>
      <c r="B54" s="226">
        <f>ROUND('CBS (Total)'!J57/B48,-B47)</f>
        <v>76</v>
      </c>
      <c r="C54" s="226">
        <f>ROUND('CBS (Total)'!L57/B48,-B47)</f>
        <v>758</v>
      </c>
      <c r="D54" s="226">
        <f>ROUND('CBS (Total)'!N57/B48,-B47)</f>
        <v>618</v>
      </c>
      <c r="E54" s="226">
        <f>ROUND('CBS (Total)'!P57/B48,-B47)</f>
        <v>1235</v>
      </c>
    </row>
    <row r="55" spans="1:5" ht="14.45" x14ac:dyDescent="0.3">
      <c r="A55" s="225" t="s">
        <v>54</v>
      </c>
      <c r="B55" s="226">
        <f>ROUND('CBS (Total)'!J58/B48,-B47)</f>
        <v>262</v>
      </c>
      <c r="C55" s="226">
        <f>ROUND('CBS (Total)'!L58/B48,-B47)</f>
        <v>400</v>
      </c>
      <c r="D55" s="226">
        <f>ROUND('CBS (Total)'!N58/B48,-B47)</f>
        <v>455</v>
      </c>
      <c r="E55" s="226">
        <f>ROUND('CBS (Total)'!P58/B48,-B47)</f>
        <v>675</v>
      </c>
    </row>
    <row r="56" spans="1:5" ht="14.45" x14ac:dyDescent="0.3">
      <c r="A56" s="225" t="s">
        <v>55</v>
      </c>
      <c r="B56" s="226">
        <f>ROUND('CBS (Total)'!J59/B48,-B47)</f>
        <v>64</v>
      </c>
      <c r="C56" s="226">
        <f>ROUND('CBS (Total)'!L59/B48,-B47)</f>
        <v>48</v>
      </c>
      <c r="D56" s="226">
        <f>ROUND('CBS (Total)'!N59/B48,-B47)</f>
        <v>43</v>
      </c>
      <c r="E56" s="226">
        <f>ROUND('CBS (Total)'!P59/B48,-B47)</f>
        <v>42</v>
      </c>
    </row>
    <row r="57" spans="1:5" ht="14.45" x14ac:dyDescent="0.3">
      <c r="A57" s="225" t="s">
        <v>56</v>
      </c>
      <c r="B57" s="226">
        <f>ROUND('CBS (Total)'!J60/B48,-B47)</f>
        <v>14</v>
      </c>
      <c r="C57" s="226">
        <f>ROUND('CBS (Total)'!L60/B48,-B47)</f>
        <v>135</v>
      </c>
      <c r="D57" s="226">
        <f>ROUND('CBS (Total)'!N60/B48,-B47)</f>
        <v>675</v>
      </c>
      <c r="E57" s="226">
        <f>ROUND('CBS (Total)'!P60/B48,-B47)</f>
        <v>1350</v>
      </c>
    </row>
    <row r="58" spans="1:5" ht="14.45" x14ac:dyDescent="0.3">
      <c r="A58" s="225" t="s">
        <v>80</v>
      </c>
      <c r="B58" s="226">
        <f>SUM(B52:B57)</f>
        <v>1143</v>
      </c>
      <c r="C58" s="226">
        <f t="shared" ref="C58:E58" si="3">SUM(C52:C57)</f>
        <v>4621</v>
      </c>
      <c r="D58" s="226">
        <f t="shared" si="3"/>
        <v>5845</v>
      </c>
      <c r="E58" s="226">
        <f t="shared" si="3"/>
        <v>7293</v>
      </c>
    </row>
    <row r="60" spans="1:5" ht="14.45" x14ac:dyDescent="0.3">
      <c r="A60" t="s">
        <v>190</v>
      </c>
      <c r="B60">
        <v>1</v>
      </c>
      <c r="C60" t="s">
        <v>191</v>
      </c>
    </row>
    <row r="62" spans="1:5" ht="14.45" x14ac:dyDescent="0.3">
      <c r="A62" t="s">
        <v>200</v>
      </c>
    </row>
    <row r="63" spans="1:5" x14ac:dyDescent="0.25">
      <c r="A63" s="1226"/>
      <c r="B63" s="278" t="s">
        <v>97</v>
      </c>
      <c r="C63" s="279" t="s">
        <v>87</v>
      </c>
      <c r="D63" s="280" t="s">
        <v>88</v>
      </c>
      <c r="E63" s="278" t="s">
        <v>89</v>
      </c>
    </row>
    <row r="64" spans="1:5" x14ac:dyDescent="0.25">
      <c r="A64" s="1227"/>
      <c r="B64" s="278" t="s">
        <v>195</v>
      </c>
      <c r="C64" s="278" t="s">
        <v>195</v>
      </c>
      <c r="D64" s="278" t="s">
        <v>195</v>
      </c>
      <c r="E64" s="278" t="s">
        <v>195</v>
      </c>
    </row>
    <row r="65" spans="1:7" x14ac:dyDescent="0.25">
      <c r="A65" s="227" t="s">
        <v>51</v>
      </c>
      <c r="B65" s="228">
        <f>ROUND('CBS ($ per kW)'!J56,-B60)</f>
        <v>730</v>
      </c>
      <c r="C65" s="228">
        <f>ROUND('CBS ($ per kW)'!L56,-B60)</f>
        <v>330</v>
      </c>
      <c r="D65" s="228">
        <f>ROUND('CBS ($ per kW)'!N56,-B60)</f>
        <v>130</v>
      </c>
      <c r="E65" s="228">
        <f>ROUND('CBS ($ per kW)'!P56,-B60)</f>
        <v>60</v>
      </c>
    </row>
    <row r="66" spans="1:7" x14ac:dyDescent="0.25">
      <c r="A66" s="227" t="s">
        <v>196</v>
      </c>
      <c r="B66" s="228">
        <f>ROUND('CBS ($ per kW)'!J57,-B60)</f>
        <v>1290</v>
      </c>
      <c r="C66" s="228">
        <f>ROUND('CBS ($ per kW)'!L57,-B60)</f>
        <v>580</v>
      </c>
      <c r="D66" s="228">
        <f>ROUND('CBS ($ per kW)'!N57,-B60)</f>
        <v>100</v>
      </c>
      <c r="E66" s="228">
        <f>ROUND('CBS ($ per kW)'!P57,-B60)</f>
        <v>50</v>
      </c>
    </row>
    <row r="67" spans="1:7" x14ac:dyDescent="0.25">
      <c r="A67" s="227" t="s">
        <v>53</v>
      </c>
      <c r="B67" s="228">
        <f>ROUND('CBS ($ per kW)'!J58,-B60)</f>
        <v>210</v>
      </c>
      <c r="C67" s="228">
        <f>ROUND('CBS ($ per kW)'!L58,-B60)</f>
        <v>210</v>
      </c>
      <c r="D67" s="228">
        <f>ROUND('CBS ($ per kW)'!N58,-B60)</f>
        <v>30</v>
      </c>
      <c r="E67" s="228">
        <f>ROUND('CBS ($ per kW)'!P58,-B60)</f>
        <v>30</v>
      </c>
    </row>
    <row r="68" spans="1:7" x14ac:dyDescent="0.25">
      <c r="A68" s="227" t="s">
        <v>54</v>
      </c>
      <c r="B68" s="228">
        <f>ROUND('CBS ($ per kW)'!J59,-B60)</f>
        <v>730</v>
      </c>
      <c r="C68" s="228">
        <f>ROUND('CBS ($ per kW)'!L59,-B60)</f>
        <v>110</v>
      </c>
      <c r="D68" s="228">
        <f>ROUND('CBS ($ per kW)'!N59,-B60)</f>
        <v>30</v>
      </c>
      <c r="E68" s="228">
        <f>ROUND('CBS ($ per kW)'!P59,-B60)</f>
        <v>20</v>
      </c>
    </row>
    <row r="69" spans="1:7" x14ac:dyDescent="0.25">
      <c r="A69" s="227" t="s">
        <v>55</v>
      </c>
      <c r="B69" s="228">
        <f>ROUND('CBS ($ per kW)'!J60,-B60)</f>
        <v>180</v>
      </c>
      <c r="C69" s="228">
        <f>ROUND('CBS ($ per kW)'!L60,-B60)</f>
        <v>10</v>
      </c>
      <c r="D69" s="228">
        <f>ROUND('CBS ($ per kW)'!N60,-B60)</f>
        <v>0</v>
      </c>
      <c r="E69" s="228">
        <f>ROUND('CBS ($ per kW)'!P60,-B60)</f>
        <v>0</v>
      </c>
    </row>
    <row r="70" spans="1:7" x14ac:dyDescent="0.25">
      <c r="A70" s="227" t="s">
        <v>56</v>
      </c>
      <c r="B70" s="228">
        <f>ROUND('CBS ($ per kW)'!J61,-B60)</f>
        <v>40</v>
      </c>
      <c r="C70" s="228">
        <f>ROUND('CBS ($ per kW)'!L61,-B60)</f>
        <v>40</v>
      </c>
      <c r="D70" s="228">
        <f>ROUND('CBS ($ per kW)'!N61,-B60)</f>
        <v>40</v>
      </c>
      <c r="E70" s="228">
        <f>ROUND('CBS ($ per kW)'!P61,-B60)</f>
        <v>40</v>
      </c>
    </row>
    <row r="71" spans="1:7" x14ac:dyDescent="0.25">
      <c r="A71" s="227" t="s">
        <v>80</v>
      </c>
      <c r="B71" s="228">
        <f>SUM(B65:B70)</f>
        <v>3180</v>
      </c>
      <c r="C71" s="228">
        <f t="shared" ref="C71:E71" si="4">SUM(C65:C70)</f>
        <v>1280</v>
      </c>
      <c r="D71" s="228">
        <f t="shared" si="4"/>
        <v>330</v>
      </c>
      <c r="E71" s="228">
        <f t="shared" si="4"/>
        <v>200</v>
      </c>
    </row>
    <row r="73" spans="1:7" x14ac:dyDescent="0.25">
      <c r="A73" s="238"/>
    </row>
    <row r="76" spans="1:7" x14ac:dyDescent="0.25">
      <c r="A76" t="s">
        <v>200</v>
      </c>
    </row>
    <row r="77" spans="1:7" x14ac:dyDescent="0.25">
      <c r="A77" s="1224"/>
      <c r="B77" s="1222" t="s">
        <v>87</v>
      </c>
      <c r="C77" s="1223"/>
      <c r="D77" s="1222" t="s">
        <v>88</v>
      </c>
      <c r="E77" s="1223"/>
      <c r="F77" s="1222" t="s">
        <v>89</v>
      </c>
      <c r="G77" s="1223"/>
    </row>
    <row r="78" spans="1:7" x14ac:dyDescent="0.25">
      <c r="A78" s="1225"/>
      <c r="B78" s="236" t="s">
        <v>193</v>
      </c>
      <c r="C78" s="236" t="s">
        <v>194</v>
      </c>
      <c r="D78" s="236" t="s">
        <v>193</v>
      </c>
      <c r="E78" s="236" t="s">
        <v>194</v>
      </c>
      <c r="F78" s="236" t="s">
        <v>193</v>
      </c>
      <c r="G78" s="236" t="s">
        <v>194</v>
      </c>
    </row>
    <row r="79" spans="1:7" x14ac:dyDescent="0.25">
      <c r="A79" s="232" t="s">
        <v>51</v>
      </c>
      <c r="B79" s="233">
        <f>'CBS (CoE)'!L57</f>
        <v>13.554403142461073</v>
      </c>
      <c r="C79" s="231">
        <f t="shared" ref="C79:C84" si="5">B79/B$85</f>
        <v>0.25856396340544724</v>
      </c>
      <c r="D79" s="233">
        <f>'CBS (CoE)'!N57</f>
        <v>5.1478048231422067</v>
      </c>
      <c r="E79" s="231">
        <f t="shared" ref="E79:E84" si="6">D79/D$85</f>
        <v>0.38818162563198855</v>
      </c>
      <c r="F79" s="233">
        <f>'CBS (CoE)'!P57</f>
        <v>2.5025924873469414</v>
      </c>
      <c r="G79" s="231">
        <f t="shared" ref="G79:G84" si="7">F79/F$85</f>
        <v>0.30247647624549467</v>
      </c>
    </row>
    <row r="80" spans="1:7" x14ac:dyDescent="0.25">
      <c r="A80" s="232" t="s">
        <v>196</v>
      </c>
      <c r="B80" s="233">
        <f>'CBS (CoE)'!L58</f>
        <v>23.654127649222822</v>
      </c>
      <c r="C80" s="231">
        <f t="shared" si="5"/>
        <v>0.45122643406716073</v>
      </c>
      <c r="D80" s="233">
        <f>'CBS (CoE)'!N58</f>
        <v>4.0501312090036201</v>
      </c>
      <c r="E80" s="231">
        <f t="shared" si="6"/>
        <v>0.30540911529241271</v>
      </c>
      <c r="F80" s="233">
        <f>'CBS (CoE)'!P58</f>
        <v>2.0250656045018101</v>
      </c>
      <c r="G80" s="231">
        <f t="shared" si="7"/>
        <v>0.24476006833418684</v>
      </c>
    </row>
    <row r="81" spans="1:7" x14ac:dyDescent="0.25">
      <c r="A81" s="232" t="s">
        <v>53</v>
      </c>
      <c r="B81" s="233">
        <f>'CBS (CoE)'!L59</f>
        <v>8.5977365174884977</v>
      </c>
      <c r="C81" s="231">
        <f t="shared" si="5"/>
        <v>0.16401052904450733</v>
      </c>
      <c r="D81" s="233">
        <f>'CBS (CoE)'!N59</f>
        <v>1.4015496066115047</v>
      </c>
      <c r="E81" s="231">
        <f t="shared" si="6"/>
        <v>0.1056869526700971</v>
      </c>
      <c r="F81" s="233">
        <f>'CBS (CoE)'!P59</f>
        <v>1.4015496066115047</v>
      </c>
      <c r="G81" s="231">
        <f t="shared" si="7"/>
        <v>0.1693986489748204</v>
      </c>
    </row>
    <row r="82" spans="1:7" x14ac:dyDescent="0.25">
      <c r="A82" s="232" t="s">
        <v>54</v>
      </c>
      <c r="B82" s="233">
        <f>'CBS (CoE)'!L60</f>
        <v>4.5372360649973995</v>
      </c>
      <c r="C82" s="231">
        <f t="shared" si="5"/>
        <v>8.6552371767426362E-2</v>
      </c>
      <c r="D82" s="233">
        <f>'CBS (CoE)'!N60</f>
        <v>1.0316875404393691</v>
      </c>
      <c r="E82" s="231">
        <f t="shared" si="6"/>
        <v>7.7796684286015522E-2</v>
      </c>
      <c r="F82" s="233">
        <f>'CBS (CoE)'!P60</f>
        <v>0.76536588741034961</v>
      </c>
      <c r="G82" s="231">
        <f t="shared" si="7"/>
        <v>9.2506142263622304E-2</v>
      </c>
    </row>
    <row r="83" spans="1:7" x14ac:dyDescent="0.25">
      <c r="A83" s="232" t="s">
        <v>55</v>
      </c>
      <c r="B83" s="233">
        <f>'CBS (CoE)'!L61</f>
        <v>0.54679151016898386</v>
      </c>
      <c r="C83" s="231">
        <f t="shared" si="5"/>
        <v>1.0430601667944185E-2</v>
      </c>
      <c r="D83" s="233">
        <f>'CBS (CoE)'!N61</f>
        <v>9.8595077295352274E-2</v>
      </c>
      <c r="E83" s="231">
        <f t="shared" si="6"/>
        <v>7.4347802021871908E-3</v>
      </c>
      <c r="F83" s="233">
        <f>'CBS (CoE)'!P61</f>
        <v>4.7540606385249512E-2</v>
      </c>
      <c r="G83" s="231">
        <f t="shared" si="7"/>
        <v>5.746007458541055E-3</v>
      </c>
    </row>
    <row r="84" spans="1:7" x14ac:dyDescent="0.25">
      <c r="A84" s="232" t="s">
        <v>56</v>
      </c>
      <c r="B84" s="233">
        <f>'CBS (CoE)'!L62</f>
        <v>1.5315622218921254</v>
      </c>
      <c r="C84" s="231">
        <f t="shared" si="5"/>
        <v>2.9216100047514008E-2</v>
      </c>
      <c r="D84" s="233">
        <f>'CBS (CoE)'!N62</f>
        <v>1.5315622218921252</v>
      </c>
      <c r="E84" s="231">
        <f t="shared" si="6"/>
        <v>0.11549084191729893</v>
      </c>
      <c r="F84" s="233">
        <f>'CBS (CoE)'!P62</f>
        <v>1.5315622218921252</v>
      </c>
      <c r="G84" s="231">
        <f t="shared" si="7"/>
        <v>0.1851126567233346</v>
      </c>
    </row>
    <row r="85" spans="1:7" x14ac:dyDescent="0.25">
      <c r="A85" s="232" t="s">
        <v>80</v>
      </c>
      <c r="B85" s="233">
        <f>SUM(B79:B84)</f>
        <v>52.42185710623091</v>
      </c>
      <c r="C85" s="230"/>
      <c r="D85" s="233">
        <f>SUM(D79:D84)</f>
        <v>13.261330478384178</v>
      </c>
      <c r="E85" s="234"/>
      <c r="F85" s="233">
        <f>SUM(F79:F84)</f>
        <v>8.2736764141479817</v>
      </c>
      <c r="G85" s="235"/>
    </row>
    <row r="89" spans="1:7" x14ac:dyDescent="0.25">
      <c r="A89" t="s">
        <v>201</v>
      </c>
    </row>
    <row r="90" spans="1:7" x14ac:dyDescent="0.25">
      <c r="A90" s="262"/>
      <c r="B90" s="1222" t="s">
        <v>87</v>
      </c>
      <c r="C90" s="1223"/>
      <c r="D90" s="1222" t="s">
        <v>88</v>
      </c>
      <c r="E90" s="1223"/>
      <c r="F90" s="1222" t="s">
        <v>89</v>
      </c>
      <c r="G90" s="1223"/>
    </row>
    <row r="91" spans="1:7" x14ac:dyDescent="0.25">
      <c r="A91" s="245"/>
      <c r="B91" s="246" t="s">
        <v>193</v>
      </c>
      <c r="C91" s="246" t="s">
        <v>194</v>
      </c>
      <c r="D91" s="246" t="s">
        <v>193</v>
      </c>
      <c r="E91" s="246" t="s">
        <v>194</v>
      </c>
      <c r="F91" s="246" t="s">
        <v>193</v>
      </c>
      <c r="G91" s="246" t="s">
        <v>194</v>
      </c>
    </row>
    <row r="92" spans="1:7" x14ac:dyDescent="0.25">
      <c r="A92" s="241" t="s">
        <v>198</v>
      </c>
      <c r="B92" s="242">
        <f>B39+B40+B41+B42</f>
        <v>30.044512114326693</v>
      </c>
      <c r="C92" s="240">
        <f t="shared" ref="C92:C97" si="8">B92/B$98</f>
        <v>0.29152766055938689</v>
      </c>
      <c r="D92" s="242">
        <f>D39+D40+D41+D42</f>
        <v>26.701832147134073</v>
      </c>
      <c r="E92" s="240">
        <f t="shared" ref="E92:E97" si="9">D92/D$98</f>
        <v>0.56887124291903834</v>
      </c>
      <c r="F92" s="242">
        <f>F39+F40+F41+F42</f>
        <v>25.858806146150457</v>
      </c>
      <c r="G92" s="240">
        <f t="shared" ref="G92:G97" si="10">F92/F$98</f>
        <v>0.63854606457883867</v>
      </c>
    </row>
    <row r="93" spans="1:7" x14ac:dyDescent="0.25">
      <c r="A93" s="241" t="s">
        <v>10</v>
      </c>
      <c r="B93" s="242">
        <f>B38</f>
        <v>9.3264492587474557</v>
      </c>
      <c r="C93" s="240">
        <f t="shared" si="8"/>
        <v>9.0496325032083338E-2</v>
      </c>
      <c r="D93" s="242">
        <f>D38</f>
        <v>3.4780496631070292</v>
      </c>
      <c r="E93" s="240">
        <f t="shared" si="9"/>
        <v>7.409837736539733E-2</v>
      </c>
      <c r="F93" s="242">
        <f>F38</f>
        <v>4.0686757478684017</v>
      </c>
      <c r="G93" s="240">
        <f t="shared" si="10"/>
        <v>0.10047010183552094</v>
      </c>
    </row>
    <row r="94" spans="1:7" x14ac:dyDescent="0.25">
      <c r="A94" s="241" t="s">
        <v>99</v>
      </c>
      <c r="B94" s="242">
        <f>B37</f>
        <v>10.040592045044026</v>
      </c>
      <c r="C94" s="240">
        <f t="shared" si="8"/>
        <v>9.742578938824191E-2</v>
      </c>
      <c r="D94" s="242">
        <f>D37</f>
        <v>2.4911735319915005</v>
      </c>
      <c r="E94" s="240">
        <f t="shared" si="9"/>
        <v>5.3073398696468099E-2</v>
      </c>
      <c r="F94" s="242">
        <f>F37</f>
        <v>1.3237985110466268</v>
      </c>
      <c r="G94" s="240">
        <f t="shared" si="10"/>
        <v>3.2689302234085879E-2</v>
      </c>
    </row>
    <row r="95" spans="1:7" x14ac:dyDescent="0.25">
      <c r="A95" s="241" t="s">
        <v>46</v>
      </c>
      <c r="B95" s="242">
        <f>B43</f>
        <v>0.10222468515441127</v>
      </c>
      <c r="C95" s="240">
        <f t="shared" si="8"/>
        <v>9.9190571646109961E-4</v>
      </c>
      <c r="D95" s="242">
        <f>D43</f>
        <v>6.0888839917026386E-2</v>
      </c>
      <c r="E95" s="240">
        <f t="shared" si="9"/>
        <v>1.2972109873447342E-3</v>
      </c>
      <c r="F95" s="242">
        <f>F43</f>
        <v>4.8711071933621099E-2</v>
      </c>
      <c r="G95" s="240">
        <f t="shared" si="10"/>
        <v>1.2028499347121213E-3</v>
      </c>
    </row>
    <row r="96" spans="1:7" x14ac:dyDescent="0.25">
      <c r="A96" s="241" t="s">
        <v>142</v>
      </c>
      <c r="B96" s="242">
        <f>B44</f>
        <v>1.1232376833016331</v>
      </c>
      <c r="C96" s="240">
        <f t="shared" si="8"/>
        <v>1.0898990565033144E-2</v>
      </c>
      <c r="D96" s="242">
        <f>D44</f>
        <v>0.94499560624828383</v>
      </c>
      <c r="E96" s="240">
        <f t="shared" si="9"/>
        <v>2.0132731795978662E-2</v>
      </c>
      <c r="F96" s="242">
        <f>F44</f>
        <v>0.92271534661661525</v>
      </c>
      <c r="G96" s="240">
        <f t="shared" si="10"/>
        <v>2.2785129753418686E-2</v>
      </c>
    </row>
    <row r="97" spans="1:8" x14ac:dyDescent="0.25">
      <c r="A97" s="241" t="s">
        <v>199</v>
      </c>
      <c r="B97" s="242">
        <f>B85</f>
        <v>52.42185710623091</v>
      </c>
      <c r="C97" s="240">
        <f t="shared" si="8"/>
        <v>0.5086593287387936</v>
      </c>
      <c r="D97" s="242">
        <f>D85</f>
        <v>13.261330478384178</v>
      </c>
      <c r="E97" s="240">
        <f t="shared" si="9"/>
        <v>0.28252703823577269</v>
      </c>
      <c r="F97" s="242">
        <f>F85</f>
        <v>8.2736764141479817</v>
      </c>
      <c r="G97" s="240">
        <f t="shared" si="10"/>
        <v>0.2043065516634239</v>
      </c>
    </row>
    <row r="98" spans="1:8" x14ac:dyDescent="0.25">
      <c r="A98" s="241" t="s">
        <v>80</v>
      </c>
      <c r="B98" s="242">
        <f>SUM(B92:B97)</f>
        <v>103.05887289280513</v>
      </c>
      <c r="C98" s="239"/>
      <c r="D98" s="242">
        <f>SUM(D92:D97)</f>
        <v>46.938270266782098</v>
      </c>
      <c r="E98" s="243"/>
      <c r="F98" s="242">
        <f>SUM(F92:F97)</f>
        <v>40.496383237763695</v>
      </c>
      <c r="G98" s="244"/>
    </row>
    <row r="100" spans="1:8" x14ac:dyDescent="0.25">
      <c r="A100" s="395"/>
      <c r="B100" s="395"/>
      <c r="C100" s="395"/>
      <c r="D100" s="395"/>
      <c r="E100" s="395"/>
      <c r="F100" s="395"/>
      <c r="G100" s="395"/>
      <c r="H100" s="395"/>
    </row>
    <row r="101" spans="1:8" ht="15" customHeight="1" x14ac:dyDescent="0.25">
      <c r="A101" s="395"/>
      <c r="B101" s="395"/>
      <c r="C101" s="395"/>
      <c r="D101" s="395"/>
      <c r="E101" s="395"/>
      <c r="F101" s="395"/>
      <c r="G101" s="395"/>
      <c r="H101" s="395"/>
    </row>
    <row r="102" spans="1:8" ht="14.25" customHeight="1" x14ac:dyDescent="0.25">
      <c r="A102" s="336"/>
      <c r="B102" s="382"/>
      <c r="C102" s="356"/>
      <c r="D102" s="356"/>
      <c r="E102" s="356"/>
      <c r="F102" s="356"/>
      <c r="G102" s="395"/>
      <c r="H102" s="395"/>
    </row>
    <row r="103" spans="1:8" x14ac:dyDescent="0.25">
      <c r="A103" s="396"/>
      <c r="B103" s="396"/>
      <c r="C103" s="380"/>
      <c r="D103" s="380"/>
      <c r="E103" s="380"/>
      <c r="F103" s="380"/>
      <c r="G103" s="395"/>
      <c r="H103" s="395"/>
    </row>
    <row r="104" spans="1:8" x14ac:dyDescent="0.25">
      <c r="A104" s="396"/>
      <c r="B104" s="396"/>
      <c r="C104" s="380"/>
      <c r="D104" s="380"/>
      <c r="E104" s="380"/>
      <c r="F104" s="380"/>
      <c r="G104" s="395"/>
      <c r="H104" s="395"/>
    </row>
    <row r="105" spans="1:8" x14ac:dyDescent="0.25">
      <c r="A105" s="396"/>
      <c r="B105" s="380"/>
      <c r="C105" s="380"/>
      <c r="D105" s="380"/>
      <c r="E105" s="380"/>
      <c r="F105" s="380"/>
      <c r="G105" s="395"/>
      <c r="H105" s="395"/>
    </row>
    <row r="106" spans="1:8" x14ac:dyDescent="0.25">
      <c r="A106" s="396"/>
      <c r="B106" s="380"/>
      <c r="C106" s="380"/>
      <c r="D106" s="380"/>
      <c r="E106" s="380"/>
      <c r="F106" s="380"/>
      <c r="G106" s="395"/>
      <c r="H106" s="395"/>
    </row>
    <row r="107" spans="1:8" x14ac:dyDescent="0.25">
      <c r="A107" s="396"/>
      <c r="B107" s="380"/>
      <c r="C107" s="380"/>
      <c r="D107" s="380"/>
      <c r="E107" s="380"/>
      <c r="F107" s="380"/>
      <c r="G107" s="395"/>
      <c r="H107" s="395"/>
    </row>
    <row r="108" spans="1:8" x14ac:dyDescent="0.25">
      <c r="A108" s="396"/>
      <c r="B108" s="380"/>
      <c r="C108" s="380"/>
      <c r="D108" s="380"/>
      <c r="E108" s="380"/>
      <c r="F108" s="380"/>
      <c r="G108" s="395"/>
      <c r="H108" s="395"/>
    </row>
    <row r="109" spans="1:8" x14ac:dyDescent="0.25">
      <c r="A109" s="396"/>
      <c r="B109" s="380"/>
      <c r="C109" s="380"/>
      <c r="D109" s="380"/>
      <c r="E109" s="380"/>
      <c r="F109" s="380"/>
      <c r="G109" s="395"/>
      <c r="H109" s="395"/>
    </row>
    <row r="110" spans="1:8" x14ac:dyDescent="0.25">
      <c r="A110" s="396"/>
      <c r="B110" s="380"/>
      <c r="C110" s="380"/>
      <c r="D110" s="380"/>
      <c r="E110" s="380"/>
      <c r="F110" s="380"/>
      <c r="G110" s="395"/>
      <c r="H110" s="395"/>
    </row>
    <row r="111" spans="1:8" x14ac:dyDescent="0.25">
      <c r="A111" s="396"/>
      <c r="B111" s="380"/>
      <c r="C111" s="380"/>
      <c r="D111" s="380"/>
      <c r="E111" s="380"/>
      <c r="F111" s="380"/>
      <c r="G111" s="395"/>
      <c r="H111" s="395"/>
    </row>
    <row r="112" spans="1:8" x14ac:dyDescent="0.25">
      <c r="A112" s="396"/>
      <c r="B112" s="380"/>
      <c r="C112" s="380"/>
      <c r="D112" s="380"/>
      <c r="E112" s="380"/>
      <c r="F112" s="380"/>
      <c r="G112" s="395"/>
      <c r="H112" s="395"/>
    </row>
    <row r="113" spans="1:8" x14ac:dyDescent="0.25">
      <c r="A113" s="396"/>
      <c r="B113" s="396"/>
      <c r="C113" s="380"/>
      <c r="D113" s="380"/>
      <c r="E113" s="380"/>
      <c r="F113" s="380"/>
      <c r="G113" s="395"/>
      <c r="H113" s="395"/>
    </row>
    <row r="114" spans="1:8" x14ac:dyDescent="0.25">
      <c r="A114" s="396"/>
      <c r="B114" s="364"/>
      <c r="C114" s="380"/>
      <c r="D114" s="380"/>
      <c r="E114" s="380"/>
      <c r="F114" s="380"/>
      <c r="G114" s="395"/>
      <c r="H114" s="395"/>
    </row>
    <row r="115" spans="1:8" x14ac:dyDescent="0.25">
      <c r="A115" s="396"/>
      <c r="B115" s="396"/>
      <c r="C115" s="396"/>
      <c r="D115" s="396"/>
      <c r="E115" s="396"/>
      <c r="F115" s="396"/>
      <c r="G115" s="395"/>
      <c r="H115" s="395"/>
    </row>
    <row r="116" spans="1:8" x14ac:dyDescent="0.25">
      <c r="A116" s="335"/>
      <c r="B116" s="335"/>
      <c r="C116" s="379"/>
      <c r="D116" s="379"/>
      <c r="E116" s="379"/>
      <c r="F116" s="379"/>
      <c r="G116" s="395"/>
      <c r="H116" s="395"/>
    </row>
    <row r="117" spans="1:8" x14ac:dyDescent="0.25">
      <c r="A117" s="395"/>
      <c r="B117" s="395"/>
      <c r="C117" s="395"/>
      <c r="D117" s="395"/>
      <c r="E117" s="395"/>
      <c r="F117" s="395"/>
      <c r="G117" s="395"/>
      <c r="H117" s="395"/>
    </row>
    <row r="118" spans="1:8" x14ac:dyDescent="0.25">
      <c r="A118" s="395"/>
      <c r="B118" s="395"/>
      <c r="C118" s="395"/>
      <c r="D118" s="395"/>
      <c r="E118" s="395"/>
      <c r="F118" s="395"/>
      <c r="G118" s="395"/>
      <c r="H118" s="395"/>
    </row>
    <row r="119" spans="1:8" x14ac:dyDescent="0.25">
      <c r="A119" s="396"/>
      <c r="B119" s="393"/>
      <c r="C119" s="395"/>
      <c r="D119" s="395"/>
      <c r="E119" s="395"/>
      <c r="F119" s="395"/>
      <c r="G119" s="395"/>
      <c r="H119" s="395"/>
    </row>
    <row r="120" spans="1:8" x14ac:dyDescent="0.25">
      <c r="A120" s="396"/>
      <c r="B120" s="323"/>
      <c r="C120" s="395"/>
      <c r="D120" s="395"/>
      <c r="E120" s="395"/>
      <c r="F120" s="395"/>
      <c r="G120" s="395"/>
      <c r="H120" s="395"/>
    </row>
    <row r="121" spans="1:8" x14ac:dyDescent="0.25">
      <c r="A121" s="396"/>
      <c r="B121" s="323"/>
      <c r="C121" s="395"/>
      <c r="D121" s="395"/>
      <c r="E121" s="395"/>
      <c r="F121" s="395"/>
      <c r="G121" s="395"/>
      <c r="H121" s="395"/>
    </row>
    <row r="122" spans="1:8" x14ac:dyDescent="0.25">
      <c r="A122" s="396"/>
      <c r="B122" s="323"/>
      <c r="C122" s="395"/>
      <c r="D122" s="395"/>
      <c r="E122" s="395"/>
      <c r="F122" s="395"/>
      <c r="G122" s="395"/>
      <c r="H122" s="395"/>
    </row>
    <row r="123" spans="1:8" x14ac:dyDescent="0.25">
      <c r="A123" s="396"/>
      <c r="B123" s="323"/>
      <c r="C123" s="397"/>
      <c r="D123" s="395"/>
      <c r="E123" s="395"/>
      <c r="F123" s="395"/>
      <c r="G123" s="395"/>
      <c r="H123" s="395"/>
    </row>
    <row r="124" spans="1:8" x14ac:dyDescent="0.25">
      <c r="A124" s="396"/>
      <c r="B124" s="323"/>
      <c r="C124" s="395"/>
      <c r="D124" s="395"/>
      <c r="E124" s="395"/>
      <c r="F124" s="395"/>
      <c r="G124" s="395"/>
      <c r="H124" s="395"/>
    </row>
    <row r="125" spans="1:8" x14ac:dyDescent="0.25">
      <c r="A125" s="395"/>
      <c r="B125" s="395"/>
      <c r="C125" s="395"/>
      <c r="D125" s="395"/>
      <c r="E125" s="395"/>
      <c r="F125" s="395"/>
      <c r="G125" s="395"/>
      <c r="H125" s="395"/>
    </row>
    <row r="126" spans="1:8" x14ac:dyDescent="0.25">
      <c r="A126" s="395"/>
      <c r="B126" s="395"/>
      <c r="C126" s="395"/>
      <c r="D126" s="395"/>
      <c r="E126" s="395"/>
      <c r="F126" s="395"/>
      <c r="G126" s="395"/>
      <c r="H126" s="395"/>
    </row>
    <row r="127" spans="1:8" x14ac:dyDescent="0.25">
      <c r="A127" s="395"/>
      <c r="B127" s="395"/>
      <c r="C127" s="395"/>
      <c r="D127" s="395"/>
      <c r="E127" s="395"/>
      <c r="F127" s="395"/>
      <c r="G127" s="395"/>
      <c r="H127" s="395"/>
    </row>
    <row r="128" spans="1:8" x14ac:dyDescent="0.25">
      <c r="A128" s="395"/>
      <c r="B128" s="395"/>
      <c r="C128" s="395"/>
      <c r="D128" s="395"/>
      <c r="E128" s="395"/>
      <c r="F128" s="395"/>
      <c r="G128" s="395"/>
      <c r="H128" s="395"/>
    </row>
    <row r="129" spans="1:8" x14ac:dyDescent="0.25">
      <c r="A129" s="335"/>
      <c r="B129" s="393"/>
      <c r="C129" s="393"/>
      <c r="D129" s="393"/>
      <c r="E129" s="393"/>
      <c r="F129" s="395"/>
      <c r="G129" s="395"/>
      <c r="H129" s="395"/>
    </row>
    <row r="130" spans="1:8" x14ac:dyDescent="0.25">
      <c r="A130" s="396"/>
      <c r="B130" s="380"/>
      <c r="C130" s="380"/>
      <c r="D130" s="324"/>
      <c r="E130" s="380"/>
      <c r="F130" s="395"/>
      <c r="G130" s="395"/>
      <c r="H130" s="395"/>
    </row>
    <row r="131" spans="1:8" x14ac:dyDescent="0.25">
      <c r="A131" s="396"/>
      <c r="B131" s="380"/>
      <c r="C131" s="380"/>
      <c r="D131" s="324"/>
      <c r="E131" s="330"/>
      <c r="F131" s="395"/>
      <c r="G131" s="395"/>
      <c r="H131" s="395"/>
    </row>
    <row r="132" spans="1:8" x14ac:dyDescent="0.25">
      <c r="A132" s="396"/>
      <c r="B132" s="380"/>
      <c r="C132" s="380"/>
      <c r="D132" s="324"/>
      <c r="E132" s="330"/>
      <c r="F132" s="395"/>
      <c r="G132" s="395"/>
      <c r="H132" s="395"/>
    </row>
    <row r="133" spans="1:8" x14ac:dyDescent="0.25">
      <c r="A133" s="396"/>
      <c r="B133" s="380"/>
      <c r="C133" s="380"/>
      <c r="D133" s="324"/>
      <c r="E133" s="330"/>
      <c r="F133" s="395"/>
      <c r="G133" s="395"/>
      <c r="H133" s="395"/>
    </row>
    <row r="134" spans="1:8" x14ac:dyDescent="0.25">
      <c r="A134" s="396"/>
      <c r="B134" s="380"/>
      <c r="C134" s="380"/>
      <c r="D134" s="324"/>
      <c r="E134" s="330"/>
      <c r="F134" s="395"/>
      <c r="G134" s="395"/>
      <c r="H134" s="395"/>
    </row>
    <row r="135" spans="1:8" x14ac:dyDescent="0.25">
      <c r="A135" s="396"/>
      <c r="B135" s="380"/>
      <c r="C135" s="380"/>
      <c r="D135" s="324"/>
      <c r="E135" s="380"/>
      <c r="F135" s="395"/>
      <c r="G135" s="395"/>
      <c r="H135" s="395"/>
    </row>
    <row r="136" spans="1:8" x14ac:dyDescent="0.25">
      <c r="A136" s="396"/>
      <c r="B136" s="380"/>
      <c r="C136" s="380"/>
      <c r="D136" s="324"/>
      <c r="E136" s="380"/>
      <c r="F136" s="395"/>
      <c r="G136" s="395"/>
      <c r="H136" s="395"/>
    </row>
    <row r="137" spans="1:8" x14ac:dyDescent="0.25">
      <c r="A137" s="396"/>
      <c r="B137" s="380"/>
      <c r="C137" s="380"/>
      <c r="D137" s="324"/>
      <c r="E137" s="380"/>
      <c r="F137" s="395"/>
      <c r="G137" s="395"/>
      <c r="H137" s="395"/>
    </row>
    <row r="138" spans="1:8" x14ac:dyDescent="0.25">
      <c r="A138" s="396"/>
      <c r="B138" s="380"/>
      <c r="C138" s="380"/>
      <c r="D138" s="324"/>
      <c r="E138" s="380"/>
      <c r="F138" s="395"/>
      <c r="G138" s="395"/>
      <c r="H138" s="395"/>
    </row>
    <row r="139" spans="1:8" x14ac:dyDescent="0.25">
      <c r="A139" s="396"/>
      <c r="B139" s="380"/>
      <c r="C139" s="380"/>
      <c r="D139" s="380"/>
      <c r="E139" s="381"/>
      <c r="F139" s="395"/>
      <c r="G139" s="395"/>
      <c r="H139" s="395"/>
    </row>
    <row r="140" spans="1:8" x14ac:dyDescent="0.25">
      <c r="A140" s="396"/>
      <c r="B140" s="380"/>
      <c r="C140" s="380"/>
      <c r="D140" s="380"/>
      <c r="E140" s="381"/>
      <c r="F140" s="395"/>
      <c r="G140" s="395"/>
      <c r="H140" s="395"/>
    </row>
    <row r="141" spans="1:8" x14ac:dyDescent="0.25">
      <c r="A141" s="396"/>
      <c r="B141" s="396"/>
      <c r="C141" s="396"/>
      <c r="D141" s="396"/>
      <c r="E141" s="396"/>
      <c r="F141" s="395"/>
      <c r="G141" s="395"/>
      <c r="H141" s="395"/>
    </row>
    <row r="142" spans="1:8" x14ac:dyDescent="0.25">
      <c r="A142" s="396"/>
      <c r="B142" s="396"/>
      <c r="C142" s="396"/>
      <c r="D142" s="396"/>
      <c r="E142" s="396"/>
      <c r="F142" s="395"/>
      <c r="G142" s="395"/>
      <c r="H142" s="395"/>
    </row>
    <row r="143" spans="1:8" x14ac:dyDescent="0.25">
      <c r="A143" s="335"/>
      <c r="B143" s="333"/>
      <c r="C143" s="333"/>
      <c r="D143" s="333"/>
      <c r="E143" s="333"/>
      <c r="F143" s="395"/>
      <c r="G143" s="395"/>
      <c r="H143" s="395"/>
    </row>
    <row r="144" spans="1:8" x14ac:dyDescent="0.25">
      <c r="A144" s="395"/>
      <c r="B144" s="395"/>
      <c r="C144" s="395"/>
      <c r="D144" s="395"/>
      <c r="E144" s="395"/>
      <c r="F144" s="395"/>
      <c r="G144" s="395"/>
      <c r="H144" s="395"/>
    </row>
    <row r="145" spans="1:8" x14ac:dyDescent="0.25">
      <c r="A145" s="335"/>
      <c r="B145" s="393"/>
      <c r="C145" s="395"/>
      <c r="D145" s="395"/>
      <c r="E145" s="395"/>
      <c r="F145" s="395"/>
      <c r="G145" s="395"/>
      <c r="H145" s="395"/>
    </row>
    <row r="146" spans="1:8" x14ac:dyDescent="0.25">
      <c r="A146" s="396"/>
      <c r="B146" s="359"/>
      <c r="C146" s="395"/>
      <c r="D146" s="395"/>
      <c r="E146" s="395"/>
      <c r="F146" s="395"/>
      <c r="G146" s="395"/>
      <c r="H146" s="395"/>
    </row>
    <row r="147" spans="1:8" x14ac:dyDescent="0.25">
      <c r="A147" s="396"/>
      <c r="B147" s="359"/>
      <c r="C147" s="395"/>
      <c r="D147" s="395"/>
      <c r="E147" s="395"/>
      <c r="F147" s="395"/>
      <c r="G147" s="395"/>
      <c r="H147" s="395"/>
    </row>
    <row r="148" spans="1:8" x14ac:dyDescent="0.25">
      <c r="A148" s="396"/>
      <c r="B148" s="359"/>
      <c r="C148" s="395"/>
      <c r="D148" s="395"/>
      <c r="E148" s="395"/>
      <c r="F148" s="395"/>
      <c r="G148" s="395"/>
      <c r="H148" s="395"/>
    </row>
    <row r="149" spans="1:8" x14ac:dyDescent="0.25">
      <c r="A149" s="396"/>
      <c r="B149" s="359"/>
      <c r="C149" s="395"/>
      <c r="D149" s="395"/>
      <c r="E149" s="395"/>
      <c r="F149" s="395"/>
      <c r="G149" s="395"/>
      <c r="H149" s="395"/>
    </row>
    <row r="150" spans="1:8" x14ac:dyDescent="0.25">
      <c r="A150" s="396"/>
      <c r="B150" s="359"/>
      <c r="C150" s="395"/>
      <c r="D150" s="395"/>
      <c r="E150" s="395"/>
      <c r="F150" s="395"/>
      <c r="G150" s="395"/>
      <c r="H150" s="395"/>
    </row>
    <row r="151" spans="1:8" x14ac:dyDescent="0.25">
      <c r="A151" s="396"/>
      <c r="B151" s="359"/>
      <c r="C151" s="395"/>
      <c r="D151" s="395"/>
      <c r="E151" s="395"/>
      <c r="F151" s="395"/>
      <c r="G151" s="395"/>
      <c r="H151" s="395"/>
    </row>
    <row r="152" spans="1:8" x14ac:dyDescent="0.25">
      <c r="A152" s="396"/>
      <c r="B152" s="359"/>
      <c r="C152" s="395"/>
      <c r="D152" s="395"/>
      <c r="E152" s="395"/>
      <c r="F152" s="395"/>
      <c r="G152" s="395"/>
      <c r="H152" s="395"/>
    </row>
    <row r="153" spans="1:8" x14ac:dyDescent="0.25">
      <c r="A153" s="396"/>
      <c r="B153" s="359"/>
      <c r="C153" s="395"/>
      <c r="D153" s="395"/>
      <c r="E153" s="395"/>
      <c r="F153" s="395"/>
      <c r="G153" s="395"/>
      <c r="H153" s="395"/>
    </row>
    <row r="154" spans="1:8" x14ac:dyDescent="0.25">
      <c r="A154" s="396"/>
      <c r="B154" s="331"/>
      <c r="C154" s="395"/>
      <c r="D154" s="395"/>
      <c r="E154" s="395"/>
      <c r="F154" s="395"/>
      <c r="G154" s="395"/>
      <c r="H154" s="395"/>
    </row>
    <row r="155" spans="1:8" x14ac:dyDescent="0.25">
      <c r="A155" s="335"/>
      <c r="B155" s="393"/>
      <c r="C155" s="395"/>
      <c r="D155" s="395"/>
      <c r="E155" s="395"/>
      <c r="F155" s="395"/>
      <c r="G155" s="395"/>
      <c r="H155" s="395"/>
    </row>
    <row r="156" spans="1:8" x14ac:dyDescent="0.25">
      <c r="A156" s="358"/>
      <c r="B156" s="326"/>
      <c r="C156" s="395"/>
      <c r="D156" s="395"/>
      <c r="E156" s="395"/>
      <c r="F156" s="395"/>
      <c r="G156" s="395"/>
      <c r="H156" s="395"/>
    </row>
    <row r="157" spans="1:8" x14ac:dyDescent="0.25">
      <c r="A157" s="395"/>
      <c r="B157" s="354"/>
      <c r="C157" s="395"/>
      <c r="D157" s="395"/>
      <c r="E157" s="395"/>
      <c r="F157" s="395"/>
      <c r="G157" s="395"/>
      <c r="H157" s="395"/>
    </row>
    <row r="158" spans="1:8" x14ac:dyDescent="0.25">
      <c r="A158" s="335"/>
      <c r="B158" s="393"/>
      <c r="C158" s="395"/>
      <c r="D158" s="395"/>
      <c r="E158" s="395"/>
      <c r="F158" s="395"/>
      <c r="G158" s="395"/>
      <c r="H158" s="395"/>
    </row>
    <row r="159" spans="1:8" x14ac:dyDescent="0.25">
      <c r="A159" s="396"/>
      <c r="B159" s="328"/>
      <c r="C159" s="395"/>
      <c r="D159" s="395"/>
      <c r="E159" s="395"/>
      <c r="F159" s="395"/>
      <c r="G159" s="395"/>
      <c r="H159" s="395"/>
    </row>
    <row r="160" spans="1:8" x14ac:dyDescent="0.25">
      <c r="A160" s="396"/>
      <c r="B160" s="328"/>
      <c r="C160" s="395"/>
      <c r="D160" s="395"/>
      <c r="E160" s="395"/>
      <c r="F160" s="395"/>
      <c r="G160" s="395"/>
      <c r="H160" s="395"/>
    </row>
    <row r="161" spans="1:8" x14ac:dyDescent="0.25">
      <c r="A161" s="396"/>
      <c r="B161" s="328"/>
      <c r="C161" s="395"/>
      <c r="D161" s="395"/>
      <c r="E161" s="395"/>
      <c r="F161" s="395"/>
      <c r="G161" s="395"/>
      <c r="H161" s="395"/>
    </row>
    <row r="162" spans="1:8" x14ac:dyDescent="0.25">
      <c r="A162" s="396"/>
      <c r="B162" s="328"/>
      <c r="C162" s="395"/>
      <c r="D162" s="395"/>
      <c r="E162" s="395"/>
      <c r="F162" s="395"/>
      <c r="G162" s="395"/>
      <c r="H162" s="395"/>
    </row>
    <row r="163" spans="1:8" x14ac:dyDescent="0.25">
      <c r="A163" s="396"/>
      <c r="B163" s="328"/>
      <c r="C163" s="395"/>
      <c r="D163" s="395"/>
      <c r="E163" s="395"/>
      <c r="F163" s="395"/>
      <c r="G163" s="395"/>
      <c r="H163" s="395"/>
    </row>
    <row r="164" spans="1:8" x14ac:dyDescent="0.25">
      <c r="A164" s="396"/>
      <c r="B164" s="328"/>
      <c r="C164" s="395"/>
      <c r="D164" s="395"/>
      <c r="E164" s="395"/>
      <c r="F164" s="395"/>
      <c r="G164" s="395"/>
      <c r="H164" s="395"/>
    </row>
    <row r="165" spans="1:8" x14ac:dyDescent="0.25">
      <c r="A165" s="396"/>
      <c r="B165" s="331"/>
      <c r="C165" s="395"/>
      <c r="D165" s="395"/>
      <c r="E165" s="395"/>
      <c r="F165" s="395"/>
      <c r="G165" s="395"/>
      <c r="H165" s="395"/>
    </row>
    <row r="166" spans="1:8" x14ac:dyDescent="0.25">
      <c r="A166" s="335"/>
      <c r="B166" s="366"/>
      <c r="C166" s="395"/>
      <c r="D166" s="395"/>
      <c r="E166" s="395"/>
      <c r="F166" s="395"/>
      <c r="G166" s="395"/>
      <c r="H166" s="395"/>
    </row>
    <row r="167" spans="1:8" x14ac:dyDescent="0.25">
      <c r="A167" s="395"/>
      <c r="B167" s="395"/>
      <c r="C167" s="395"/>
      <c r="D167" s="395"/>
      <c r="E167" s="395"/>
      <c r="F167" s="395"/>
      <c r="G167" s="395"/>
      <c r="H167" s="395"/>
    </row>
    <row r="168" spans="1:8" x14ac:dyDescent="0.25">
      <c r="A168" s="395"/>
      <c r="B168" s="395"/>
      <c r="C168" s="395"/>
      <c r="D168" s="395"/>
      <c r="E168" s="395"/>
      <c r="F168" s="395"/>
      <c r="G168" s="395"/>
      <c r="H168" s="395"/>
    </row>
    <row r="169" spans="1:8" x14ac:dyDescent="0.25">
      <c r="A169" s="395"/>
      <c r="B169" s="395"/>
      <c r="C169" s="395"/>
      <c r="D169" s="395"/>
      <c r="E169" s="395"/>
      <c r="F169" s="395"/>
      <c r="G169" s="395"/>
      <c r="H169" s="395"/>
    </row>
    <row r="170" spans="1:8" x14ac:dyDescent="0.25">
      <c r="A170" s="395"/>
      <c r="B170" s="395"/>
      <c r="C170" s="395"/>
      <c r="D170" s="395"/>
      <c r="E170" s="395"/>
      <c r="F170" s="395"/>
      <c r="G170" s="395"/>
      <c r="H170" s="395"/>
    </row>
    <row r="171" spans="1:8" x14ac:dyDescent="0.25">
      <c r="A171" s="395"/>
      <c r="B171" s="395"/>
      <c r="C171" s="395"/>
      <c r="D171" s="395"/>
      <c r="E171" s="395"/>
      <c r="F171" s="395"/>
      <c r="G171" s="395"/>
      <c r="H171" s="395"/>
    </row>
    <row r="172" spans="1:8" x14ac:dyDescent="0.25">
      <c r="A172" s="395"/>
      <c r="B172" s="395"/>
      <c r="C172" s="395"/>
      <c r="D172" s="395"/>
      <c r="E172" s="395"/>
      <c r="F172" s="395"/>
      <c r="G172" s="395"/>
      <c r="H172" s="395"/>
    </row>
    <row r="173" spans="1:8" x14ac:dyDescent="0.25">
      <c r="A173" s="395"/>
      <c r="B173" s="395"/>
      <c r="C173" s="395"/>
      <c r="D173" s="395"/>
      <c r="E173" s="395"/>
      <c r="F173" s="395"/>
      <c r="G173" s="395"/>
      <c r="H173" s="395"/>
    </row>
    <row r="174" spans="1:8" x14ac:dyDescent="0.25">
      <c r="A174" s="395"/>
      <c r="B174" s="395"/>
      <c r="C174" s="395"/>
      <c r="D174" s="395"/>
      <c r="E174" s="395"/>
      <c r="F174" s="395"/>
      <c r="G174" s="395"/>
      <c r="H174" s="395"/>
    </row>
    <row r="175" spans="1:8" x14ac:dyDescent="0.25">
      <c r="A175" s="395"/>
      <c r="B175" s="395"/>
      <c r="C175" s="395"/>
      <c r="D175" s="395"/>
      <c r="E175" s="395"/>
      <c r="F175" s="395"/>
      <c r="G175" s="395"/>
      <c r="H175" s="395"/>
    </row>
    <row r="176" spans="1:8" x14ac:dyDescent="0.25">
      <c r="A176" s="395"/>
      <c r="B176" s="395"/>
      <c r="C176" s="395"/>
      <c r="D176" s="395"/>
      <c r="E176" s="395"/>
      <c r="F176" s="395"/>
      <c r="G176" s="395"/>
      <c r="H176" s="395"/>
    </row>
    <row r="177" spans="1:8" x14ac:dyDescent="0.25">
      <c r="A177" s="395"/>
      <c r="B177" s="395"/>
      <c r="C177" s="395"/>
      <c r="D177" s="395"/>
      <c r="E177" s="395"/>
      <c r="F177" s="395"/>
      <c r="G177" s="395"/>
      <c r="H177" s="395"/>
    </row>
    <row r="178" spans="1:8" x14ac:dyDescent="0.25">
      <c r="A178" s="395"/>
      <c r="B178" s="395"/>
      <c r="C178" s="395"/>
      <c r="D178" s="395"/>
      <c r="E178" s="395"/>
      <c r="F178" s="395"/>
      <c r="G178" s="395"/>
      <c r="H178" s="395"/>
    </row>
    <row r="179" spans="1:8" x14ac:dyDescent="0.25">
      <c r="A179" s="395"/>
      <c r="B179" s="395"/>
      <c r="C179" s="395"/>
      <c r="D179" s="395"/>
      <c r="E179" s="395"/>
      <c r="F179" s="395"/>
      <c r="G179" s="395"/>
      <c r="H179" s="395"/>
    </row>
    <row r="180" spans="1:8" x14ac:dyDescent="0.25">
      <c r="A180" s="395"/>
      <c r="B180" s="395"/>
      <c r="C180" s="395"/>
      <c r="D180" s="395"/>
      <c r="E180" s="395"/>
      <c r="F180" s="395"/>
      <c r="G180" s="395"/>
      <c r="H180" s="395"/>
    </row>
  </sheetData>
  <sortState ref="A44:A47">
    <sortCondition descending="1" ref="A47"/>
  </sortState>
  <mergeCells count="13">
    <mergeCell ref="A5:A6"/>
    <mergeCell ref="F77:G77"/>
    <mergeCell ref="A77:A78"/>
    <mergeCell ref="F90:G90"/>
    <mergeCell ref="B90:C90"/>
    <mergeCell ref="D90:E90"/>
    <mergeCell ref="A50:A51"/>
    <mergeCell ref="A63:A64"/>
    <mergeCell ref="B77:C77"/>
    <mergeCell ref="D77:E77"/>
    <mergeCell ref="F35:G35"/>
    <mergeCell ref="B35:C35"/>
    <mergeCell ref="D35:E3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AA77"/>
  <sheetViews>
    <sheetView zoomScale="70" zoomScaleNormal="70" zoomScalePageLayoutView="70" workbookViewId="0">
      <pane xSplit="8" ySplit="2" topLeftCell="I3" activePane="bottomRight" state="frozen"/>
      <selection pane="topRight" activeCell="I1" sqref="I1"/>
      <selection pane="bottomLeft" activeCell="A3" sqref="A3"/>
      <selection pane="bottomRight" activeCell="L65" sqref="L65"/>
    </sheetView>
  </sheetViews>
  <sheetFormatPr defaultColWidth="8.85546875" defaultRowHeight="15" outlineLevelRow="2" x14ac:dyDescent="0.25"/>
  <cols>
    <col min="1" max="1" width="8.42578125" style="1" customWidth="1"/>
    <col min="2" max="2" width="3.85546875" customWidth="1"/>
    <col min="3" max="4" width="4.140625" customWidth="1"/>
    <col min="8" max="8" width="20.28515625" customWidth="1"/>
    <col min="9" max="9" width="20.28515625" style="8" customWidth="1"/>
    <col min="10" max="10" width="20.28515625" bestFit="1" customWidth="1"/>
    <col min="11" max="11" width="10.140625" style="58" customWidth="1"/>
    <col min="12" max="12" width="21.5703125" bestFit="1" customWidth="1"/>
    <col min="13" max="13" width="10.140625" style="58" customWidth="1"/>
    <col min="14" max="14" width="22.7109375" bestFit="1" customWidth="1"/>
    <col min="15" max="15" width="11.42578125" style="58" customWidth="1"/>
    <col min="16" max="16" width="22.7109375" customWidth="1"/>
    <col min="17" max="17" width="11" customWidth="1"/>
    <col min="18" max="18" width="18.140625" bestFit="1" customWidth="1"/>
    <col min="19" max="19" width="16.85546875" bestFit="1" customWidth="1"/>
    <col min="20" max="20" width="19.140625" bestFit="1" customWidth="1"/>
    <col min="21" max="22" width="13.28515625" bestFit="1" customWidth="1"/>
    <col min="23" max="23" width="15" bestFit="1" customWidth="1"/>
    <col min="24" max="24" width="11.140625" bestFit="1" customWidth="1"/>
  </cols>
  <sheetData>
    <row r="1" spans="1:19" x14ac:dyDescent="0.25">
      <c r="A1" s="2" t="s">
        <v>1019</v>
      </c>
      <c r="I1" s="57"/>
      <c r="J1" s="1248" t="s">
        <v>65</v>
      </c>
      <c r="K1" s="1248"/>
      <c r="L1" s="1248"/>
      <c r="M1" s="1248"/>
      <c r="N1" s="1248"/>
      <c r="O1" s="1248"/>
      <c r="P1" s="1248"/>
      <c r="Q1" s="57"/>
    </row>
    <row r="2" spans="1:19" x14ac:dyDescent="0.25">
      <c r="I2" s="57" t="s">
        <v>110</v>
      </c>
      <c r="J2" s="57">
        <v>1</v>
      </c>
      <c r="K2" s="91" t="s">
        <v>145</v>
      </c>
      <c r="L2" s="57">
        <v>10</v>
      </c>
      <c r="M2" s="91" t="s">
        <v>145</v>
      </c>
      <c r="N2" s="57">
        <v>50</v>
      </c>
      <c r="O2" s="91" t="s">
        <v>146</v>
      </c>
      <c r="P2" s="57">
        <v>100</v>
      </c>
      <c r="Q2" s="91" t="s">
        <v>146</v>
      </c>
      <c r="R2" s="57"/>
      <c r="S2" s="69"/>
    </row>
    <row r="3" spans="1:19" s="57" customFormat="1" x14ac:dyDescent="0.25">
      <c r="A3" s="69">
        <v>1</v>
      </c>
      <c r="B3" s="57" t="s">
        <v>0</v>
      </c>
      <c r="J3" s="84"/>
      <c r="K3" s="84"/>
      <c r="L3" s="84"/>
      <c r="M3" s="84"/>
      <c r="N3" s="84"/>
      <c r="O3" s="84"/>
      <c r="P3" s="84"/>
    </row>
    <row r="4" spans="1:19" s="78" customFormat="1" x14ac:dyDescent="0.25">
      <c r="A4" s="1158">
        <v>1.1000000000000001</v>
      </c>
      <c r="B4" s="1159"/>
      <c r="C4" s="1159" t="s">
        <v>99</v>
      </c>
      <c r="D4" s="1159"/>
      <c r="E4" s="1159"/>
      <c r="F4" s="1159"/>
      <c r="G4" s="1159"/>
      <c r="H4" s="1159"/>
      <c r="I4" s="1159"/>
      <c r="J4" s="1160">
        <f>J5+J10+J11</f>
        <v>3945383.5766524989</v>
      </c>
      <c r="K4" s="1161">
        <f t="shared" ref="K4:K38" si="0">J4/$J$52</f>
        <v>0.2103602627405918</v>
      </c>
      <c r="L4" s="1160">
        <f>L5+L10+L11</f>
        <v>8190558.0740760928</v>
      </c>
      <c r="M4" s="1161">
        <f t="shared" ref="M4:M38" si="1">L4/$L$52</f>
        <v>0.10961485822700236</v>
      </c>
      <c r="N4" s="1160">
        <f>N5+N10+N11</f>
        <v>10160805.953892419</v>
      </c>
      <c r="O4" s="1161">
        <f t="shared" ref="O4:O38" si="2">N4/$N$52</f>
        <v>3.89688110805535E-2</v>
      </c>
      <c r="P4" s="1160">
        <f>P5+P10+P11</f>
        <v>10798813.988717651</v>
      </c>
      <c r="Q4" s="1162">
        <f t="shared" ref="Q4:Q38" si="3">P4/$P$52</f>
        <v>2.1720105993563475E-2</v>
      </c>
      <c r="R4" s="612"/>
      <c r="S4" s="612"/>
    </row>
    <row r="5" spans="1:19" s="986" customFormat="1" outlineLevel="1" x14ac:dyDescent="0.25">
      <c r="A5" s="1084" t="s">
        <v>2</v>
      </c>
      <c r="B5" s="977"/>
      <c r="C5" s="977"/>
      <c r="D5" s="977" t="s">
        <v>1</v>
      </c>
      <c r="E5" s="977"/>
      <c r="F5" s="977"/>
      <c r="G5" s="977"/>
      <c r="H5" s="977"/>
      <c r="I5" s="977"/>
      <c r="J5" s="1085">
        <f>SUM(J6:J9)</f>
        <v>2939500</v>
      </c>
      <c r="K5" s="1086">
        <f t="shared" si="0"/>
        <v>0.15672848540891895</v>
      </c>
      <c r="L5" s="1085">
        <f>SUM(L6:L9)</f>
        <v>5918000</v>
      </c>
      <c r="M5" s="1086">
        <f t="shared" si="1"/>
        <v>7.9201041628726182E-2</v>
      </c>
      <c r="N5" s="1085">
        <f>SUM(N6:N9)</f>
        <v>5675500</v>
      </c>
      <c r="O5" s="1086">
        <f t="shared" si="2"/>
        <v>2.1766726802115156E-2</v>
      </c>
      <c r="P5" s="1085">
        <f>SUM(P6:P9)</f>
        <v>5675500</v>
      </c>
      <c r="Q5" s="1087">
        <f t="shared" si="3"/>
        <v>1.1415370400421907E-2</v>
      </c>
      <c r="R5" s="994"/>
    </row>
    <row r="6" spans="1:19" s="986" customFormat="1" outlineLevel="2" x14ac:dyDescent="0.25">
      <c r="A6" s="1084" t="s">
        <v>100</v>
      </c>
      <c r="B6" s="977"/>
      <c r="C6" s="977"/>
      <c r="D6" s="977"/>
      <c r="E6" s="977" t="s">
        <v>3</v>
      </c>
      <c r="F6" s="977"/>
      <c r="G6" s="977"/>
      <c r="H6" s="977"/>
      <c r="I6" s="977"/>
      <c r="J6" s="476">
        <f>'1.1'!E5</f>
        <v>335000</v>
      </c>
      <c r="K6" s="1086">
        <f t="shared" si="0"/>
        <v>1.7861555574753479E-2</v>
      </c>
      <c r="L6" s="476">
        <f>'1.1'!F5</f>
        <v>421000</v>
      </c>
      <c r="M6" s="1086">
        <f t="shared" si="1"/>
        <v>5.6342748438144175E-3</v>
      </c>
      <c r="N6" s="476">
        <f>'1.1'!G5</f>
        <v>426000</v>
      </c>
      <c r="O6" s="1086">
        <f t="shared" si="2"/>
        <v>1.633798893084496E-3</v>
      </c>
      <c r="P6" s="476">
        <f>'1.1'!H5</f>
        <v>426000</v>
      </c>
      <c r="Q6" s="1088">
        <f t="shared" si="3"/>
        <v>8.5683160789000652E-4</v>
      </c>
      <c r="R6" s="994"/>
    </row>
    <row r="7" spans="1:19" s="986" customFormat="1" outlineLevel="2" x14ac:dyDescent="0.25">
      <c r="A7" s="1084" t="s">
        <v>101</v>
      </c>
      <c r="B7" s="977"/>
      <c r="C7" s="977"/>
      <c r="D7" s="977"/>
      <c r="E7" s="977" t="s">
        <v>5</v>
      </c>
      <c r="F7" s="977"/>
      <c r="G7" s="977"/>
      <c r="H7" s="977"/>
      <c r="I7" s="977"/>
      <c r="J7" s="476">
        <f>'1.1'!E6</f>
        <v>1214500</v>
      </c>
      <c r="K7" s="1086">
        <f t="shared" si="0"/>
        <v>6.4754803718024168E-2</v>
      </c>
      <c r="L7" s="476">
        <f>'1.1'!F6</f>
        <v>2377000</v>
      </c>
      <c r="M7" s="1086">
        <f t="shared" si="1"/>
        <v>3.1811570792747913E-2</v>
      </c>
      <c r="N7" s="476">
        <f>'1.1'!G6</f>
        <v>2319500</v>
      </c>
      <c r="O7" s="1086">
        <f t="shared" si="2"/>
        <v>8.8957665082382356E-3</v>
      </c>
      <c r="P7" s="476">
        <f>'1.1'!H6</f>
        <v>2319500</v>
      </c>
      <c r="Q7" s="1088">
        <f t="shared" si="3"/>
        <v>4.6653073110349066E-3</v>
      </c>
      <c r="R7" s="994"/>
    </row>
    <row r="8" spans="1:19" s="986" customFormat="1" outlineLevel="2" x14ac:dyDescent="0.25">
      <c r="A8" s="1084" t="s">
        <v>102</v>
      </c>
      <c r="B8" s="977"/>
      <c r="C8" s="977"/>
      <c r="D8" s="977"/>
      <c r="E8" s="977" t="s">
        <v>7</v>
      </c>
      <c r="F8" s="977"/>
      <c r="G8" s="977"/>
      <c r="H8" s="977"/>
      <c r="I8" s="977"/>
      <c r="J8" s="476">
        <f>'1.1'!E7</f>
        <v>465000</v>
      </c>
      <c r="K8" s="1086">
        <f t="shared" si="0"/>
        <v>2.4792905499284677E-2</v>
      </c>
      <c r="L8" s="476">
        <f>'1.1'!F7</f>
        <v>2085000</v>
      </c>
      <c r="M8" s="1086">
        <f t="shared" si="1"/>
        <v>2.7903712706301806E-2</v>
      </c>
      <c r="N8" s="476">
        <f>'1.1'!G7</f>
        <v>1785000</v>
      </c>
      <c r="O8" s="1086">
        <f t="shared" si="2"/>
        <v>6.8458474745441908E-3</v>
      </c>
      <c r="P8" s="476">
        <f>'1.1'!H7</f>
        <v>1785000</v>
      </c>
      <c r="Q8" s="1088">
        <f t="shared" si="3"/>
        <v>3.5902451175672807E-3</v>
      </c>
      <c r="R8" s="994"/>
    </row>
    <row r="9" spans="1:19" s="986" customFormat="1" outlineLevel="2" x14ac:dyDescent="0.25">
      <c r="A9" s="1084" t="s">
        <v>103</v>
      </c>
      <c r="B9" s="977"/>
      <c r="C9" s="977"/>
      <c r="D9" s="977"/>
      <c r="E9" s="977" t="s">
        <v>8</v>
      </c>
      <c r="F9" s="977"/>
      <c r="G9" s="977"/>
      <c r="H9" s="977"/>
      <c r="I9" s="977"/>
      <c r="J9" s="476">
        <f>'1.1'!E8</f>
        <v>925000</v>
      </c>
      <c r="K9" s="1086">
        <f t="shared" si="0"/>
        <v>4.9319220616856618E-2</v>
      </c>
      <c r="L9" s="476">
        <f>'1.1'!F8</f>
        <v>1035000</v>
      </c>
      <c r="M9" s="1086">
        <f t="shared" si="1"/>
        <v>1.3851483285862049E-2</v>
      </c>
      <c r="N9" s="476">
        <f>'1.1'!G8</f>
        <v>1145000</v>
      </c>
      <c r="O9" s="1086">
        <f t="shared" si="2"/>
        <v>4.3913139262482343E-3</v>
      </c>
      <c r="P9" s="476">
        <f>'1.1'!H8</f>
        <v>1145000</v>
      </c>
      <c r="Q9" s="1088">
        <f t="shared" si="3"/>
        <v>2.3029863639297122E-3</v>
      </c>
      <c r="R9" s="994"/>
    </row>
    <row r="10" spans="1:19" s="986" customFormat="1" outlineLevel="1" x14ac:dyDescent="0.25">
      <c r="A10" s="1084" t="s">
        <v>4</v>
      </c>
      <c r="B10" s="977"/>
      <c r="C10" s="977"/>
      <c r="D10" s="977" t="s">
        <v>104</v>
      </c>
      <c r="E10" s="977"/>
      <c r="F10" s="977"/>
      <c r="G10" s="977"/>
      <c r="H10" s="977"/>
      <c r="I10" s="977"/>
      <c r="J10" s="476">
        <f>'1.1'!E9</f>
        <v>193963</v>
      </c>
      <c r="K10" s="1086">
        <f t="shared" si="0"/>
        <v>1.0341734041629578E-2</v>
      </c>
      <c r="L10" s="476">
        <f>'1.1'!F9</f>
        <v>294061</v>
      </c>
      <c r="M10" s="1086">
        <f t="shared" si="1"/>
        <v>3.9354406053370818E-3</v>
      </c>
      <c r="N10" s="476">
        <f>'1.1'!G9</f>
        <v>294061</v>
      </c>
      <c r="O10" s="1086">
        <f t="shared" si="2"/>
        <v>1.1277852964772768E-3</v>
      </c>
      <c r="P10" s="476">
        <f>'1.1'!H9</f>
        <v>294061</v>
      </c>
      <c r="Q10" s="1088">
        <f t="shared" si="3"/>
        <v>5.9145718180221411E-4</v>
      </c>
    </row>
    <row r="11" spans="1:19" s="986" customFormat="1" outlineLevel="1" x14ac:dyDescent="0.25">
      <c r="A11" s="1089" t="s">
        <v>6</v>
      </c>
      <c r="B11" s="897"/>
      <c r="C11" s="897"/>
      <c r="D11" s="897" t="s">
        <v>160</v>
      </c>
      <c r="E11" s="897"/>
      <c r="F11" s="897"/>
      <c r="G11" s="897"/>
      <c r="H11" s="897"/>
      <c r="I11" s="897"/>
      <c r="J11" s="916">
        <f>'1.1'!E10</f>
        <v>811920.57665249903</v>
      </c>
      <c r="K11" s="1090">
        <f t="shared" si="0"/>
        <v>4.3290043290043288E-2</v>
      </c>
      <c r="L11" s="916">
        <f>'1.1'!F10</f>
        <v>1978497.0740760928</v>
      </c>
      <c r="M11" s="1090">
        <f t="shared" si="1"/>
        <v>2.6478375992939097E-2</v>
      </c>
      <c r="N11" s="916">
        <f>'1.1'!G10</f>
        <v>4191244.9538924186</v>
      </c>
      <c r="O11" s="1090">
        <f t="shared" si="2"/>
        <v>1.6074298981961062E-2</v>
      </c>
      <c r="P11" s="916">
        <f>'1.1'!H10</f>
        <v>4829252.988717651</v>
      </c>
      <c r="Q11" s="1091">
        <f t="shared" si="3"/>
        <v>9.7132784113393537E-3</v>
      </c>
      <c r="R11" s="994"/>
    </row>
    <row r="12" spans="1:19" s="78" customFormat="1" x14ac:dyDescent="0.25">
      <c r="A12" s="1158">
        <v>1.2</v>
      </c>
      <c r="B12" s="1159"/>
      <c r="C12" s="1159" t="s">
        <v>10</v>
      </c>
      <c r="D12" s="1159"/>
      <c r="E12" s="1159"/>
      <c r="F12" s="1159"/>
      <c r="G12" s="1159"/>
      <c r="H12" s="1159"/>
      <c r="I12" s="1159"/>
      <c r="J12" s="1160">
        <f>SUM(J13:J17)</f>
        <v>1086800</v>
      </c>
      <c r="K12" s="1161">
        <f t="shared" si="0"/>
        <v>5.794608536908083E-2</v>
      </c>
      <c r="L12" s="1160">
        <f>SUM(L13:L17)</f>
        <v>7608000</v>
      </c>
      <c r="M12" s="1161">
        <f t="shared" si="1"/>
        <v>0.10181843945781494</v>
      </c>
      <c r="N12" s="1160">
        <f>SUM(N13:N17)</f>
        <v>14186000</v>
      </c>
      <c r="O12" s="1161">
        <f t="shared" si="2"/>
        <v>5.4406270181447558E-2</v>
      </c>
      <c r="P12" s="1160">
        <f>SUM(P13:P17)</f>
        <v>33190000</v>
      </c>
      <c r="Q12" s="1162">
        <f t="shared" si="3"/>
        <v>6.6756434426923278E-2</v>
      </c>
    </row>
    <row r="13" spans="1:19" s="986" customFormat="1" outlineLevel="1" x14ac:dyDescent="0.25">
      <c r="A13" s="1084" t="s">
        <v>9</v>
      </c>
      <c r="B13" s="977"/>
      <c r="C13" s="977"/>
      <c r="D13" s="977" t="str">
        <f>'1.2'!C4</f>
        <v>Subsea Cables</v>
      </c>
      <c r="E13" s="977"/>
      <c r="F13" s="977"/>
      <c r="G13" s="977"/>
      <c r="H13" s="977"/>
      <c r="I13" s="977"/>
      <c r="J13" s="476">
        <f>'1.2'!E4</f>
        <v>988000</v>
      </c>
      <c r="K13" s="1086">
        <f t="shared" si="0"/>
        <v>5.267825942643712E-2</v>
      </c>
      <c r="L13" s="476">
        <f>'1.2'!F4</f>
        <v>1780000</v>
      </c>
      <c r="M13" s="1086">
        <f t="shared" si="1"/>
        <v>2.382187463655502E-2</v>
      </c>
      <c r="N13" s="476">
        <f>'1.2'!G4</f>
        <v>7760000</v>
      </c>
      <c r="O13" s="1086">
        <f t="shared" si="2"/>
        <v>2.976121927308847E-2</v>
      </c>
      <c r="P13" s="476">
        <f>'1.2'!H4</f>
        <v>19900000</v>
      </c>
      <c r="Q13" s="1092">
        <f t="shared" si="3"/>
        <v>4.0025701870918147E-2</v>
      </c>
    </row>
    <row r="14" spans="1:19" s="986" customFormat="1" outlineLevel="1" x14ac:dyDescent="0.25">
      <c r="A14" s="1084" t="s">
        <v>11</v>
      </c>
      <c r="B14" s="977"/>
      <c r="C14" s="977"/>
      <c r="D14" s="977" t="str">
        <f>'1.2'!C5</f>
        <v>Terminations and Connectors</v>
      </c>
      <c r="E14" s="977"/>
      <c r="F14" s="977"/>
      <c r="G14" s="977"/>
      <c r="H14" s="977"/>
      <c r="I14" s="977"/>
      <c r="J14" s="476">
        <f>'1.2'!E5</f>
        <v>98800</v>
      </c>
      <c r="K14" s="1086">
        <f t="shared" si="0"/>
        <v>5.2678259426437116E-3</v>
      </c>
      <c r="L14" s="476">
        <f>'1.2'!F5</f>
        <v>178000</v>
      </c>
      <c r="M14" s="1086">
        <f t="shared" si="1"/>
        <v>2.382187463655502E-3</v>
      </c>
      <c r="N14" s="476">
        <f>'1.2'!G5</f>
        <v>776000</v>
      </c>
      <c r="O14" s="1086">
        <f t="shared" si="2"/>
        <v>2.9761219273088473E-3</v>
      </c>
      <c r="P14" s="476">
        <f>'1.2'!H5</f>
        <v>1990000</v>
      </c>
      <c r="Q14" s="1092">
        <f t="shared" si="3"/>
        <v>4.0025701870918147E-3</v>
      </c>
    </row>
    <row r="15" spans="1:19" s="986" customFormat="1" outlineLevel="1" x14ac:dyDescent="0.25">
      <c r="A15" s="1084" t="s">
        <v>13</v>
      </c>
      <c r="B15" s="977"/>
      <c r="C15" s="977"/>
      <c r="D15" s="977" t="str">
        <f>'1.2'!C6</f>
        <v>Dockside Improvements</v>
      </c>
      <c r="E15" s="977"/>
      <c r="F15" s="977"/>
      <c r="G15" s="977"/>
      <c r="H15" s="977"/>
      <c r="I15" s="977"/>
      <c r="J15" s="476">
        <f>'1.2'!E6</f>
        <v>0</v>
      </c>
      <c r="K15" s="1086">
        <f t="shared" si="0"/>
        <v>0</v>
      </c>
      <c r="L15" s="476">
        <f>'1.2'!F6</f>
        <v>0</v>
      </c>
      <c r="M15" s="1086">
        <f t="shared" si="1"/>
        <v>0</v>
      </c>
      <c r="N15" s="476">
        <f>'1.2'!G6</f>
        <v>0</v>
      </c>
      <c r="O15" s="1086">
        <f t="shared" si="2"/>
        <v>0</v>
      </c>
      <c r="P15" s="476">
        <f>'1.2'!H6</f>
        <v>0</v>
      </c>
      <c r="Q15" s="1088">
        <f t="shared" si="3"/>
        <v>0</v>
      </c>
    </row>
    <row r="16" spans="1:19" s="986" customFormat="1" outlineLevel="1" x14ac:dyDescent="0.25">
      <c r="A16" s="1084" t="s">
        <v>15</v>
      </c>
      <c r="B16" s="977"/>
      <c r="C16" s="977"/>
      <c r="D16" s="977" t="str">
        <f>'1.2'!C7</f>
        <v>Dedicated O&amp;M Vessel</v>
      </c>
      <c r="E16" s="977"/>
      <c r="F16" s="977"/>
      <c r="G16" s="977"/>
      <c r="H16" s="977"/>
      <c r="I16" s="977"/>
      <c r="J16" s="476">
        <f>'1.2'!E7</f>
        <v>0</v>
      </c>
      <c r="K16" s="1086">
        <f t="shared" si="0"/>
        <v>0</v>
      </c>
      <c r="L16" s="476">
        <f>'1.2'!F7</f>
        <v>5650000</v>
      </c>
      <c r="M16" s="1086">
        <f t="shared" si="1"/>
        <v>7.5614377357604415E-2</v>
      </c>
      <c r="N16" s="476">
        <f>'1.2'!G7</f>
        <v>5650000</v>
      </c>
      <c r="O16" s="1086">
        <f t="shared" si="2"/>
        <v>2.1668928981050242E-2</v>
      </c>
      <c r="P16" s="476">
        <f>'1.2'!H7</f>
        <v>11300000</v>
      </c>
      <c r="Q16" s="1088">
        <f t="shared" si="3"/>
        <v>2.272816236891332E-2</v>
      </c>
    </row>
    <row r="17" spans="1:27" s="986" customFormat="1" outlineLevel="1" x14ac:dyDescent="0.25">
      <c r="A17" s="1089" t="s">
        <v>16</v>
      </c>
      <c r="B17" s="897"/>
      <c r="C17" s="897"/>
      <c r="D17" s="897" t="str">
        <f>'1.2'!C8</f>
        <v>Other</v>
      </c>
      <c r="E17" s="897"/>
      <c r="F17" s="897"/>
      <c r="G17" s="897"/>
      <c r="H17" s="897"/>
      <c r="I17" s="897"/>
      <c r="J17" s="916">
        <f>'1.2'!E8</f>
        <v>0</v>
      </c>
      <c r="K17" s="1090">
        <f t="shared" si="0"/>
        <v>0</v>
      </c>
      <c r="L17" s="916">
        <f>'1.2'!F8</f>
        <v>0</v>
      </c>
      <c r="M17" s="1090">
        <f t="shared" si="1"/>
        <v>0</v>
      </c>
      <c r="N17" s="916">
        <f>'1.2'!G8</f>
        <v>0</v>
      </c>
      <c r="O17" s="1090">
        <f t="shared" si="2"/>
        <v>0</v>
      </c>
      <c r="P17" s="916">
        <f>'1.2'!H8</f>
        <v>0</v>
      </c>
      <c r="Q17" s="1091">
        <f t="shared" si="3"/>
        <v>0</v>
      </c>
      <c r="W17" s="1082"/>
    </row>
    <row r="18" spans="1:27" s="78" customFormat="1" x14ac:dyDescent="0.25">
      <c r="A18" s="1158">
        <v>1.3</v>
      </c>
      <c r="B18" s="1159"/>
      <c r="C18" s="1159" t="s">
        <v>18</v>
      </c>
      <c r="D18" s="1159"/>
      <c r="E18" s="1159"/>
      <c r="F18" s="1159"/>
      <c r="G18" s="1159"/>
      <c r="H18" s="1159"/>
      <c r="I18" s="1159"/>
      <c r="J18" s="1160">
        <f>SUM(J19:J22)</f>
        <v>1263917.8412159286</v>
      </c>
      <c r="K18" s="1161">
        <f t="shared" si="0"/>
        <v>6.7389667948658957E-2</v>
      </c>
      <c r="L18" s="1160">
        <f>SUM(L19:L22)</f>
        <v>8330208.3128291331</v>
      </c>
      <c r="M18" s="1161">
        <f t="shared" si="1"/>
        <v>0.11148380793517085</v>
      </c>
      <c r="N18" s="1160">
        <f>SUM(N19:N22)</f>
        <v>37594315.497916594</v>
      </c>
      <c r="O18" s="1161">
        <f t="shared" si="2"/>
        <v>0.14418204471071699</v>
      </c>
      <c r="P18" s="1160">
        <f>SUM(P19:P22)</f>
        <v>72749546.986116171</v>
      </c>
      <c r="Q18" s="1162">
        <f t="shared" si="3"/>
        <v>0.14632420497038379</v>
      </c>
      <c r="R18" s="753"/>
    </row>
    <row r="19" spans="1:27" s="986" customFormat="1" outlineLevel="1" x14ac:dyDescent="0.25">
      <c r="A19" s="1084" t="s">
        <v>19</v>
      </c>
      <c r="B19" s="977"/>
      <c r="C19" s="977"/>
      <c r="D19" s="977" t="str">
        <f>'1.3 (RM3)'!C4</f>
        <v>Mooring lines/chain</v>
      </c>
      <c r="E19" s="977"/>
      <c r="F19" s="977"/>
      <c r="G19" s="977"/>
      <c r="H19" s="977"/>
      <c r="I19" s="977"/>
      <c r="J19" s="476">
        <f>'1.3'!F21</f>
        <v>350888.61748900829</v>
      </c>
      <c r="K19" s="1086">
        <f t="shared" si="0"/>
        <v>1.870870609500996E-2</v>
      </c>
      <c r="L19" s="476">
        <f>'1.3'!G21</f>
        <v>3157997.557401075</v>
      </c>
      <c r="M19" s="1086">
        <f t="shared" si="1"/>
        <v>4.2263720176941223E-2</v>
      </c>
      <c r="N19" s="476">
        <f>'1.3'!H21</f>
        <v>15789987.787005376</v>
      </c>
      <c r="O19" s="1086">
        <f t="shared" si="2"/>
        <v>6.0557898047481441E-2</v>
      </c>
      <c r="P19" s="476">
        <f>'1.3'!I21</f>
        <v>31579975.574010752</v>
      </c>
      <c r="Q19" s="1088">
        <f t="shared" si="3"/>
        <v>6.3518124995790529E-2</v>
      </c>
    </row>
    <row r="20" spans="1:27" s="986" customFormat="1" outlineLevel="1" x14ac:dyDescent="0.25">
      <c r="A20" s="1084" t="s">
        <v>21</v>
      </c>
      <c r="B20" s="977"/>
      <c r="C20" s="977"/>
      <c r="D20" s="977" t="str">
        <f>'1.3 (RM3)'!C5</f>
        <v>Anchors</v>
      </c>
      <c r="E20" s="977"/>
      <c r="F20" s="977"/>
      <c r="G20" s="977"/>
      <c r="H20" s="977"/>
      <c r="I20" s="977"/>
      <c r="J20" s="476">
        <f>'1.3'!F29</f>
        <v>750729.22372692032</v>
      </c>
      <c r="K20" s="1086">
        <f t="shared" si="0"/>
        <v>4.0027438063253505E-2</v>
      </c>
      <c r="L20" s="476">
        <f>'1.3'!G29</f>
        <v>3711510.7554280576</v>
      </c>
      <c r="M20" s="1086">
        <f t="shared" si="1"/>
        <v>4.9671429173052138E-2</v>
      </c>
      <c r="N20" s="476">
        <f>'1.3'!H29</f>
        <v>14500827.710911222</v>
      </c>
      <c r="O20" s="1086">
        <f t="shared" si="2"/>
        <v>5.5613700147642581E-2</v>
      </c>
      <c r="P20" s="476">
        <f>'1.3'!I29</f>
        <v>26562571.412105411</v>
      </c>
      <c r="Q20" s="1088">
        <f t="shared" si="3"/>
        <v>5.3426410264618314E-2</v>
      </c>
      <c r="R20" s="997"/>
    </row>
    <row r="21" spans="1:27" s="986" customFormat="1" outlineLevel="1" x14ac:dyDescent="0.25">
      <c r="A21" s="1084" t="s">
        <v>23</v>
      </c>
      <c r="B21" s="977"/>
      <c r="C21" s="977"/>
      <c r="D21" s="977" t="str">
        <f>'1.3 (RM3)'!C6</f>
        <v>Buoyancy</v>
      </c>
      <c r="E21" s="977"/>
      <c r="F21" s="977"/>
      <c r="G21" s="977"/>
      <c r="H21" s="977"/>
      <c r="I21" s="977"/>
      <c r="J21" s="476">
        <f>'1.3'!F6</f>
        <v>60000</v>
      </c>
      <c r="K21" s="1086">
        <f t="shared" si="0"/>
        <v>3.1990845805528615E-3</v>
      </c>
      <c r="L21" s="476">
        <f>'1.3'!G6</f>
        <v>540000</v>
      </c>
      <c r="M21" s="1086">
        <f t="shared" si="1"/>
        <v>7.2268608447975903E-3</v>
      </c>
      <c r="N21" s="476">
        <f>'1.3'!H6</f>
        <v>2700000</v>
      </c>
      <c r="O21" s="1086">
        <f t="shared" si="2"/>
        <v>1.0355063406873566E-2</v>
      </c>
      <c r="P21" s="476">
        <f>'1.3'!I6</f>
        <v>5400000</v>
      </c>
      <c r="Q21" s="1088">
        <f t="shared" si="3"/>
        <v>1.0861245733816983E-2</v>
      </c>
    </row>
    <row r="22" spans="1:27" s="986" customFormat="1" outlineLevel="1" x14ac:dyDescent="0.25">
      <c r="A22" s="1089" t="s">
        <v>24</v>
      </c>
      <c r="B22" s="897"/>
      <c r="C22" s="897"/>
      <c r="D22" s="897" t="str">
        <f>'1.3 (RM3)'!C7</f>
        <v>Connecting Hardware (shackles etc.)</v>
      </c>
      <c r="E22" s="897"/>
      <c r="F22" s="897"/>
      <c r="G22" s="897"/>
      <c r="H22" s="897"/>
      <c r="I22" s="897"/>
      <c r="J22" s="916">
        <f>'1.3 (RM3)'!E7</f>
        <v>102300</v>
      </c>
      <c r="K22" s="1090">
        <f t="shared" si="0"/>
        <v>5.4544392098426287E-3</v>
      </c>
      <c r="L22" s="916">
        <f>'1.3 (RM3)'!F7</f>
        <v>920700</v>
      </c>
      <c r="M22" s="1090">
        <f t="shared" si="1"/>
        <v>1.2321797740379892E-2</v>
      </c>
      <c r="N22" s="916">
        <f>'1.3 (RM3)'!G7</f>
        <v>4603500</v>
      </c>
      <c r="O22" s="1090">
        <f t="shared" si="2"/>
        <v>1.7655383108719429E-2</v>
      </c>
      <c r="P22" s="916">
        <f>'1.3 (RM3)'!H7</f>
        <v>9207000</v>
      </c>
      <c r="Q22" s="1091">
        <f t="shared" si="3"/>
        <v>1.8518423976157959E-2</v>
      </c>
      <c r="R22" s="169"/>
    </row>
    <row r="23" spans="1:27" s="78" customFormat="1" x14ac:dyDescent="0.25">
      <c r="A23" s="1158">
        <v>1.4</v>
      </c>
      <c r="B23" s="1159"/>
      <c r="C23" s="1159" t="s">
        <v>26</v>
      </c>
      <c r="D23" s="1159"/>
      <c r="E23" s="1159"/>
      <c r="F23" s="1159"/>
      <c r="G23" s="1159"/>
      <c r="H23" s="1159"/>
      <c r="I23" s="1163">
        <f>'1.4'!I11</f>
        <v>799.54600000000005</v>
      </c>
      <c r="J23" s="1164">
        <f>'1.4'!E11</f>
        <v>3817045.6610000003</v>
      </c>
      <c r="K23" s="1161">
        <f t="shared" si="0"/>
        <v>0.20351753195618844</v>
      </c>
      <c r="L23" s="1164">
        <f>'1.4'!F11</f>
        <v>26838141.990000002</v>
      </c>
      <c r="M23" s="1161">
        <f t="shared" si="1"/>
        <v>0.35917688424935018</v>
      </c>
      <c r="N23" s="1164">
        <f>'1.4'!G11</f>
        <v>118871463.15000001</v>
      </c>
      <c r="O23" s="1161">
        <f t="shared" si="2"/>
        <v>0.45589686599484613</v>
      </c>
      <c r="P23" s="1164">
        <f>'1.4'!H11</f>
        <v>230967105.59999999</v>
      </c>
      <c r="Q23" s="1162">
        <f t="shared" si="3"/>
        <v>0.46455379450926976</v>
      </c>
      <c r="R23" s="997"/>
      <c r="S23" s="997"/>
      <c r="T23" s="997"/>
      <c r="U23" s="997"/>
      <c r="V23" s="957"/>
      <c r="W23" s="997"/>
      <c r="X23" s="997"/>
      <c r="Y23" s="997"/>
    </row>
    <row r="24" spans="1:27" s="986" customFormat="1" outlineLevel="1" x14ac:dyDescent="0.25">
      <c r="A24" s="1093" t="s">
        <v>27</v>
      </c>
      <c r="B24" s="402"/>
      <c r="C24" s="402"/>
      <c r="D24" s="402" t="str">
        <f>'1.4'!D4</f>
        <v xml:space="preserve">Surge Frame </v>
      </c>
      <c r="E24" s="402"/>
      <c r="F24" s="402"/>
      <c r="G24" s="402"/>
      <c r="H24" s="402"/>
      <c r="I24" s="1094">
        <f>'1.4'!I4</f>
        <v>301</v>
      </c>
      <c r="J24" s="1085">
        <f>'1.4'!E4</f>
        <v>1286985.7</v>
      </c>
      <c r="K24" s="1086">
        <f t="shared" si="0"/>
        <v>6.8619601804367172E-2</v>
      </c>
      <c r="L24" s="1085">
        <f>'1.4'!F4</f>
        <v>9048963</v>
      </c>
      <c r="M24" s="1086">
        <f t="shared" si="1"/>
        <v>0.12110295627911506</v>
      </c>
      <c r="N24" s="1085">
        <f>'1.4'!G4</f>
        <v>40079655</v>
      </c>
      <c r="O24" s="1086">
        <f t="shared" si="2"/>
        <v>0.1537138403150434</v>
      </c>
      <c r="P24" s="1085">
        <f>'1.4'!H4</f>
        <v>77874720</v>
      </c>
      <c r="Q24" s="1087">
        <f t="shared" si="3"/>
        <v>0.1566326796985541</v>
      </c>
      <c r="R24" s="997"/>
      <c r="S24" s="781"/>
      <c r="T24" s="781"/>
      <c r="U24" s="781"/>
      <c r="V24" s="971"/>
      <c r="W24" s="971"/>
      <c r="X24" s="971"/>
      <c r="Y24" s="971"/>
      <c r="AA24" s="169"/>
    </row>
    <row r="25" spans="1:27" s="986" customFormat="1" outlineLevel="1" x14ac:dyDescent="0.25">
      <c r="A25" s="1093" t="s">
        <v>28</v>
      </c>
      <c r="B25" s="402"/>
      <c r="C25" s="402"/>
      <c r="D25" s="402" t="str">
        <f>'1.4'!D5</f>
        <v>Surge Flap</v>
      </c>
      <c r="E25" s="402"/>
      <c r="F25" s="402"/>
      <c r="G25" s="402"/>
      <c r="H25" s="402"/>
      <c r="I25" s="1094">
        <f>'1.4'!I5</f>
        <v>498.54599999999999</v>
      </c>
      <c r="J25" s="1085">
        <f>'1.4'!E5</f>
        <v>2530059.9610000001</v>
      </c>
      <c r="K25" s="1086">
        <f t="shared" si="0"/>
        <v>0.13489793015182125</v>
      </c>
      <c r="L25" s="1085">
        <f>'1.4'!F5</f>
        <v>17789178.990000002</v>
      </c>
      <c r="M25" s="1086">
        <f t="shared" si="1"/>
        <v>0.23807392797023511</v>
      </c>
      <c r="N25" s="1085">
        <f>'1.4'!G5</f>
        <v>78791808.150000006</v>
      </c>
      <c r="O25" s="1086">
        <f t="shared" si="2"/>
        <v>0.30218302567980276</v>
      </c>
      <c r="P25" s="1085">
        <f>'1.4'!H5</f>
        <v>153092385.59999999</v>
      </c>
      <c r="Q25" s="1087">
        <f t="shared" si="3"/>
        <v>0.30792111481071566</v>
      </c>
      <c r="R25" s="997"/>
      <c r="S25" s="781"/>
      <c r="T25" s="781"/>
      <c r="U25" s="781"/>
      <c r="V25" s="971"/>
      <c r="W25" s="971"/>
      <c r="X25" s="971"/>
      <c r="Y25" s="971"/>
    </row>
    <row r="26" spans="1:27" s="986" customFormat="1" outlineLevel="1" x14ac:dyDescent="0.25">
      <c r="A26" s="1095" t="s">
        <v>863</v>
      </c>
      <c r="B26" s="1096"/>
      <c r="C26" s="1096"/>
      <c r="D26" s="1096" t="str">
        <f>'1.4'!D6</f>
        <v>Fiberglass Tubing</v>
      </c>
      <c r="E26" s="1096"/>
      <c r="F26" s="1096"/>
      <c r="G26" s="1096"/>
      <c r="H26" s="1096"/>
      <c r="I26" s="1097">
        <f>'1.4'!I6</f>
        <v>71.680000000000007</v>
      </c>
      <c r="J26" s="1098">
        <f>'1.4'!E6</f>
        <v>704909.0048</v>
      </c>
      <c r="K26" s="1099">
        <f t="shared" si="0"/>
        <v>3.7584392132475719E-2</v>
      </c>
      <c r="L26" s="1098">
        <f>'1.4'!F6</f>
        <v>4956306.432</v>
      </c>
      <c r="M26" s="1099">
        <f t="shared" si="1"/>
        <v>6.6330623867109723E-2</v>
      </c>
      <c r="N26" s="1098">
        <f>'1.4'!G6</f>
        <v>21952465.919999998</v>
      </c>
      <c r="O26" s="1099">
        <f t="shared" si="2"/>
        <v>8.4192287606974461E-2</v>
      </c>
      <c r="P26" s="1098">
        <f>'1.4'!H6</f>
        <v>42653614.079999998</v>
      </c>
      <c r="Q26" s="1100">
        <f t="shared" si="3"/>
        <v>8.5790997029310367E-2</v>
      </c>
      <c r="R26" s="997"/>
      <c r="S26" s="781"/>
      <c r="T26" s="781"/>
      <c r="U26" s="781"/>
      <c r="V26" s="971"/>
      <c r="W26" s="971"/>
      <c r="X26" s="971"/>
      <c r="Y26" s="971"/>
    </row>
    <row r="27" spans="1:27" s="986" customFormat="1" outlineLevel="1" x14ac:dyDescent="0.25">
      <c r="A27" s="1095" t="s">
        <v>864</v>
      </c>
      <c r="B27" s="1096"/>
      <c r="C27" s="1096"/>
      <c r="D27" s="1096" t="str">
        <f>'1.4'!D7</f>
        <v>Upright Support Structures - Side (2)</v>
      </c>
      <c r="E27" s="1096"/>
      <c r="F27" s="1096"/>
      <c r="G27" s="1096"/>
      <c r="H27" s="1096"/>
      <c r="I27" s="1097">
        <f>'1.4'!I7</f>
        <v>150.26599999999999</v>
      </c>
      <c r="J27" s="1098">
        <f>'1.4'!E7</f>
        <v>642492.3361999999</v>
      </c>
      <c r="K27" s="1099">
        <f t="shared" si="0"/>
        <v>3.4256455431013411E-2</v>
      </c>
      <c r="L27" s="1098">
        <f>'1.4'!F7</f>
        <v>4517446.7579999994</v>
      </c>
      <c r="M27" s="1099">
        <f t="shared" si="1"/>
        <v>6.0457331655274095E-2</v>
      </c>
      <c r="N27" s="1098">
        <f>'1.4'!G7</f>
        <v>20008669.229999997</v>
      </c>
      <c r="O27" s="1099">
        <f t="shared" si="2"/>
        <v>7.6737421690300026E-2</v>
      </c>
      <c r="P27" s="1098">
        <f>'1.4'!H7</f>
        <v>38876819.519999996</v>
      </c>
      <c r="Q27" s="1100">
        <f t="shared" si="3"/>
        <v>7.819457225110607E-2</v>
      </c>
      <c r="R27" s="997"/>
      <c r="S27" s="781"/>
      <c r="T27" s="781"/>
      <c r="U27" s="781"/>
      <c r="V27" s="971"/>
      <c r="W27" s="971"/>
      <c r="X27" s="971"/>
      <c r="Y27" s="971"/>
    </row>
    <row r="28" spans="1:27" s="986" customFormat="1" outlineLevel="1" x14ac:dyDescent="0.25">
      <c r="A28" s="1095" t="s">
        <v>865</v>
      </c>
      <c r="B28" s="1096"/>
      <c r="C28" s="1096"/>
      <c r="D28" s="1096" t="str">
        <f>'1.4'!D8</f>
        <v>Upright Support Structures - Center</v>
      </c>
      <c r="E28" s="1096"/>
      <c r="F28" s="1096"/>
      <c r="G28" s="1096"/>
      <c r="H28" s="1096"/>
      <c r="I28" s="1097">
        <f>'1.4'!I8</f>
        <v>61.6</v>
      </c>
      <c r="J28" s="1098">
        <f>'1.4'!E8</f>
        <v>263383.12</v>
      </c>
      <c r="K28" s="1099">
        <f t="shared" si="0"/>
        <v>1.4043081299498399E-2</v>
      </c>
      <c r="L28" s="1098">
        <f>'1.4'!F8</f>
        <v>1851880.8</v>
      </c>
      <c r="M28" s="1099">
        <f t="shared" si="1"/>
        <v>2.4783860819911921E-2</v>
      </c>
      <c r="N28" s="1098">
        <f>'1.4'!G8</f>
        <v>8202348</v>
      </c>
      <c r="O28" s="1099">
        <f t="shared" si="2"/>
        <v>3.1457716157497255E-2</v>
      </c>
      <c r="P28" s="1098">
        <f>'1.4'!H8</f>
        <v>15937152</v>
      </c>
      <c r="Q28" s="1100">
        <f t="shared" si="3"/>
        <v>3.2055060031332003E-2</v>
      </c>
      <c r="R28" s="997"/>
      <c r="S28" s="781"/>
      <c r="T28" s="781"/>
      <c r="U28" s="781"/>
      <c r="V28" s="971"/>
      <c r="W28" s="971"/>
      <c r="X28" s="971"/>
      <c r="Y28" s="971"/>
    </row>
    <row r="29" spans="1:27" s="986" customFormat="1" outlineLevel="1" x14ac:dyDescent="0.25">
      <c r="A29" s="1101" t="s">
        <v>869</v>
      </c>
      <c r="B29" s="1102"/>
      <c r="C29" s="1102"/>
      <c r="D29" s="1102" t="str">
        <f>'1.4'!D9</f>
        <v>Torque Tube</v>
      </c>
      <c r="E29" s="1102"/>
      <c r="F29" s="1102"/>
      <c r="G29" s="1102"/>
      <c r="H29" s="1102"/>
      <c r="I29" s="1103">
        <f>'1.4'!I9</f>
        <v>215</v>
      </c>
      <c r="J29" s="1104">
        <f>'1.4'!E9</f>
        <v>919275.5</v>
      </c>
      <c r="K29" s="1105">
        <f t="shared" si="0"/>
        <v>4.9014001288833701E-2</v>
      </c>
      <c r="L29" s="1104">
        <f>'1.4'!F9</f>
        <v>6463545</v>
      </c>
      <c r="M29" s="1105">
        <f t="shared" si="1"/>
        <v>8.6502111627939332E-2</v>
      </c>
      <c r="N29" s="1104">
        <f>'1.4'!G9</f>
        <v>28628325</v>
      </c>
      <c r="O29" s="1105">
        <f t="shared" si="2"/>
        <v>0.10979560022503099</v>
      </c>
      <c r="P29" s="1104">
        <f>'1.4'!H9</f>
        <v>55624800</v>
      </c>
      <c r="Q29" s="1106">
        <f t="shared" si="3"/>
        <v>0.11188048549896722</v>
      </c>
      <c r="R29" s="997"/>
    </row>
    <row r="30" spans="1:27" s="78" customFormat="1" x14ac:dyDescent="0.25">
      <c r="A30" s="1158">
        <v>1.5</v>
      </c>
      <c r="B30" s="1159"/>
      <c r="C30" s="1159" t="s">
        <v>31</v>
      </c>
      <c r="D30" s="1159"/>
      <c r="E30" s="1159"/>
      <c r="F30" s="1159"/>
      <c r="G30" s="1159"/>
      <c r="H30" s="1159"/>
      <c r="I30" s="1163">
        <f>SUM(I31:I40)</f>
        <v>36.618865698729586</v>
      </c>
      <c r="J30" s="1165">
        <f>SUM(J31:J40)</f>
        <v>588143.7588491363</v>
      </c>
      <c r="K30" s="1161">
        <f t="shared" si="0"/>
        <v>3.135869383471121E-2</v>
      </c>
      <c r="L30" s="1165">
        <f>SUM(L31:L40)</f>
        <v>4723367.1016530991</v>
      </c>
      <c r="M30" s="1161">
        <f t="shared" si="1"/>
        <v>6.3213179189892332E-2</v>
      </c>
      <c r="N30" s="1165">
        <f>SUM(N31:N40)</f>
        <v>20733845.947470706</v>
      </c>
      <c r="O30" s="1161">
        <f t="shared" si="2"/>
        <v>7.9518625723854694E-2</v>
      </c>
      <c r="P30" s="1165">
        <f>SUM(P31:P40)</f>
        <v>39382308.826565355</v>
      </c>
      <c r="Q30" s="1162">
        <f t="shared" si="3"/>
        <v>7.9211284024147385E-2</v>
      </c>
    </row>
    <row r="31" spans="1:27" s="986" customFormat="1" ht="14.45" outlineLevel="1" x14ac:dyDescent="0.3">
      <c r="A31" s="1107" t="str">
        <f>'1.5'!B4</f>
        <v>1.5.1</v>
      </c>
      <c r="B31" s="977"/>
      <c r="C31" s="977"/>
      <c r="D31" s="977" t="str">
        <f>'1.5'!E4</f>
        <v>Generator</v>
      </c>
      <c r="E31" s="977"/>
      <c r="F31" s="977"/>
      <c r="G31" s="977"/>
      <c r="H31" s="977"/>
      <c r="I31" s="1108">
        <f>'1.5'!L4/1000</f>
        <v>0.90800000000000003</v>
      </c>
      <c r="J31" s="476">
        <f>'1.5'!G4</f>
        <v>33000</v>
      </c>
      <c r="K31" s="1086">
        <f t="shared" si="0"/>
        <v>1.7594965193040739E-3</v>
      </c>
      <c r="L31" s="476">
        <f>'1.5'!H4</f>
        <v>291153.25051839038</v>
      </c>
      <c r="M31" s="1086">
        <f t="shared" si="1"/>
        <v>3.8965259740868503E-3</v>
      </c>
      <c r="N31" s="476">
        <f>'1.5'!I4</f>
        <v>1333745.7957680325</v>
      </c>
      <c r="O31" s="1086">
        <f t="shared" si="2"/>
        <v>5.1151934384551919E-3</v>
      </c>
      <c r="P31" s="476">
        <f>'1.5'!J4</f>
        <v>2568794.4026492299</v>
      </c>
      <c r="Q31" s="1088">
        <f t="shared" si="3"/>
        <v>5.166723564227203E-3</v>
      </c>
      <c r="R31" s="997"/>
    </row>
    <row r="32" spans="1:27" s="986" customFormat="1" ht="14.45" outlineLevel="1" x14ac:dyDescent="0.3">
      <c r="A32" s="1107" t="str">
        <f>'1.5'!B5</f>
        <v>1.5.2</v>
      </c>
      <c r="B32" s="977"/>
      <c r="C32" s="977"/>
      <c r="D32" s="977" t="str">
        <f>'1.5'!E5</f>
        <v>Hydraulic Components</v>
      </c>
      <c r="E32" s="977"/>
      <c r="F32" s="977"/>
      <c r="G32" s="977"/>
      <c r="H32" s="977"/>
      <c r="I32" s="1108">
        <f>'1.5'!L5/1000</f>
        <v>18.110321234119784</v>
      </c>
      <c r="J32" s="476">
        <f>'1.5'!G5</f>
        <v>261557.73787011538</v>
      </c>
      <c r="K32" s="1086">
        <f t="shared" si="0"/>
        <v>1.3945755435742889E-2</v>
      </c>
      <c r="L32" s="476">
        <f>'1.5'!H5</f>
        <v>2384987.2920174706</v>
      </c>
      <c r="M32" s="1086">
        <f t="shared" si="1"/>
        <v>3.1918465325964616E-2</v>
      </c>
      <c r="N32" s="476">
        <f>'1.5'!I5</f>
        <v>11179961.425969889</v>
      </c>
      <c r="O32" s="1086">
        <f t="shared" si="2"/>
        <v>4.28774849823403E-2</v>
      </c>
      <c r="P32" s="476">
        <f>'1.5'!J5</f>
        <v>21747260.965796627</v>
      </c>
      <c r="Q32" s="1088">
        <f t="shared" si="3"/>
        <v>4.3741175071659859E-2</v>
      </c>
      <c r="R32" s="997"/>
    </row>
    <row r="33" spans="1:18" s="986" customFormat="1" ht="14.45" outlineLevel="1" x14ac:dyDescent="0.3">
      <c r="A33" s="1107" t="str">
        <f>'1.5'!B6</f>
        <v>1.5.3</v>
      </c>
      <c r="B33" s="977"/>
      <c r="C33" s="977"/>
      <c r="D33" s="977" t="str">
        <f>'1.5'!E6</f>
        <v>Couplings</v>
      </c>
      <c r="E33" s="977"/>
      <c r="F33" s="977"/>
      <c r="G33" s="977"/>
      <c r="H33" s="977"/>
      <c r="I33" s="1108">
        <f>'1.5'!L6/1000</f>
        <v>0.01</v>
      </c>
      <c r="J33" s="476">
        <f>'1.5'!G6</f>
        <v>330</v>
      </c>
      <c r="K33" s="1086">
        <f t="shared" si="0"/>
        <v>1.7594965193040738E-5</v>
      </c>
      <c r="L33" s="476">
        <f>'1.5'!H6</f>
        <v>2783.0009746717492</v>
      </c>
      <c r="M33" s="1086">
        <f t="shared" si="1"/>
        <v>3.724511254609036E-5</v>
      </c>
      <c r="N33" s="476">
        <f>'1.5'!I6</f>
        <v>12352.622687438445</v>
      </c>
      <c r="O33" s="1086">
        <f t="shared" si="2"/>
        <v>4.7374885618374091E-5</v>
      </c>
      <c r="P33" s="476">
        <f>'1.5'!J6</f>
        <v>23469.983106133044</v>
      </c>
      <c r="Q33" s="1088">
        <f t="shared" si="3"/>
        <v>4.7206158126711894E-5</v>
      </c>
      <c r="R33" s="997"/>
    </row>
    <row r="34" spans="1:18" s="986" customFormat="1" ht="14.45" outlineLevel="1" x14ac:dyDescent="0.3">
      <c r="A34" s="1107" t="str">
        <f>'1.5'!B7</f>
        <v>1.5.4</v>
      </c>
      <c r="B34" s="977"/>
      <c r="C34" s="977"/>
      <c r="D34" s="977" t="str">
        <f>'1.5'!E7</f>
        <v>Frequency Converter</v>
      </c>
      <c r="E34" s="977"/>
      <c r="F34" s="977"/>
      <c r="G34" s="977"/>
      <c r="H34" s="977"/>
      <c r="I34" s="1108">
        <f>'1.5'!L7/1000</f>
        <v>1.2005444646098002</v>
      </c>
      <c r="J34" s="476">
        <f>'1.5'!G7</f>
        <v>73277</v>
      </c>
      <c r="K34" s="1086">
        <f t="shared" si="0"/>
        <v>3.9069886801528673E-3</v>
      </c>
      <c r="L34" s="476">
        <f>'1.5'!H7</f>
        <v>349172.14102330973</v>
      </c>
      <c r="M34" s="1086">
        <f t="shared" si="1"/>
        <v>4.6729971741768508E-3</v>
      </c>
      <c r="N34" s="476">
        <f>'1.5'!I7</f>
        <v>1039899.8327135576</v>
      </c>
      <c r="O34" s="1086">
        <f t="shared" si="2"/>
        <v>3.9882328535355942E-3</v>
      </c>
      <c r="P34" s="476">
        <f>'1.5'!J7</f>
        <v>1663839.7323416916</v>
      </c>
      <c r="Q34" s="1088">
        <f t="shared" si="3"/>
        <v>3.3465504064169242E-3</v>
      </c>
      <c r="R34" s="997"/>
    </row>
    <row r="35" spans="1:18" s="986" customFormat="1" ht="14.45" outlineLevel="1" x14ac:dyDescent="0.3">
      <c r="A35" s="1107" t="str">
        <f>'1.5'!B8</f>
        <v>1.5.5</v>
      </c>
      <c r="B35" s="977"/>
      <c r="C35" s="977"/>
      <c r="D35" s="977" t="str">
        <f>'1.5'!E8</f>
        <v>Step up Transformer</v>
      </c>
      <c r="E35" s="977"/>
      <c r="F35" s="977"/>
      <c r="G35" s="977"/>
      <c r="H35" s="977"/>
      <c r="I35" s="1108">
        <f>'1.5'!L8/1000</f>
        <v>1.59</v>
      </c>
      <c r="J35" s="476">
        <f>'1.5'!G8</f>
        <v>17000</v>
      </c>
      <c r="K35" s="1086">
        <f t="shared" si="0"/>
        <v>9.0640729782331074E-4</v>
      </c>
      <c r="L35" s="476">
        <f>'1.5'!H8</f>
        <v>148441.46516520469</v>
      </c>
      <c r="M35" s="1086">
        <f t="shared" si="1"/>
        <v>1.9866033561977839E-3</v>
      </c>
      <c r="N35" s="476">
        <f>'1.5'!I8</f>
        <v>675087.88542869757</v>
      </c>
      <c r="O35" s="1086">
        <f t="shared" si="2"/>
        <v>2.5891029106764299E-3</v>
      </c>
      <c r="P35" s="476">
        <f>'1.5'!J8</f>
        <v>1296168.7400230989</v>
      </c>
      <c r="Q35" s="1088">
        <f t="shared" si="3"/>
        <v>2.6070383699782996E-3</v>
      </c>
      <c r="R35" s="997"/>
    </row>
    <row r="36" spans="1:18" s="986" customFormat="1" ht="14.45" outlineLevel="1" x14ac:dyDescent="0.3">
      <c r="A36" s="1107" t="str">
        <f>'1.5'!B9</f>
        <v>1.5.6</v>
      </c>
      <c r="B36" s="977"/>
      <c r="C36" s="977"/>
      <c r="D36" s="977" t="str">
        <f>'1.5'!E9</f>
        <v>Control System</v>
      </c>
      <c r="E36" s="977"/>
      <c r="F36" s="977"/>
      <c r="G36" s="977"/>
      <c r="H36" s="977"/>
      <c r="I36" s="1108">
        <f>'1.5'!L9/1000</f>
        <v>0</v>
      </c>
      <c r="J36" s="476">
        <f>'1.5'!G9</f>
        <v>5000</v>
      </c>
      <c r="K36" s="1086">
        <f t="shared" si="0"/>
        <v>2.6659038171273844E-4</v>
      </c>
      <c r="L36" s="476">
        <f>'1.5'!H9</f>
        <v>46754.526024051971</v>
      </c>
      <c r="M36" s="1086">
        <f t="shared" si="1"/>
        <v>6.2571935822276141E-4</v>
      </c>
      <c r="N36" s="476">
        <f>'1.5'!I9</f>
        <v>223059.76568711776</v>
      </c>
      <c r="O36" s="1086">
        <f t="shared" si="2"/>
        <v>8.5548074711572772E-4</v>
      </c>
      <c r="P36" s="476">
        <f>'1.5'!J9</f>
        <v>437197.14074675075</v>
      </c>
      <c r="Q36" s="1088">
        <f t="shared" si="3"/>
        <v>8.7935288514307962E-4</v>
      </c>
      <c r="R36" s="997"/>
    </row>
    <row r="37" spans="1:18" s="986" customFormat="1" ht="14.45" outlineLevel="1" x14ac:dyDescent="0.3">
      <c r="A37" s="1107" t="str">
        <f>'1.5'!B10</f>
        <v>1.5.7</v>
      </c>
      <c r="B37" s="977"/>
      <c r="C37" s="977"/>
      <c r="D37" s="977" t="str">
        <f>'1.5'!E10</f>
        <v>Bearings</v>
      </c>
      <c r="E37" s="977"/>
      <c r="F37" s="977"/>
      <c r="G37" s="977"/>
      <c r="H37" s="977"/>
      <c r="I37" s="1108">
        <f>'1.5'!L10/1000</f>
        <v>4.3</v>
      </c>
      <c r="J37" s="476">
        <f>'1.5'!G10</f>
        <v>15000</v>
      </c>
      <c r="K37" s="1086">
        <f t="shared" si="0"/>
        <v>7.9977114513821537E-4</v>
      </c>
      <c r="L37" s="476">
        <f>'1.5'!H10</f>
        <v>130977.76338106298</v>
      </c>
      <c r="M37" s="1086">
        <f t="shared" si="1"/>
        <v>1.7528853142921624E-3</v>
      </c>
      <c r="N37" s="476">
        <f>'1.5'!I10</f>
        <v>595665.78126061545</v>
      </c>
      <c r="O37" s="1086">
        <f t="shared" si="2"/>
        <v>2.2845025682439084E-3</v>
      </c>
      <c r="P37" s="476">
        <f>'1.5'!J10</f>
        <v>1143678.3000203813</v>
      </c>
      <c r="Q37" s="1088">
        <f t="shared" si="3"/>
        <v>2.3003279735102642E-3</v>
      </c>
      <c r="R37" s="997"/>
    </row>
    <row r="38" spans="1:18" s="986" customFormat="1" ht="14.45" outlineLevel="1" x14ac:dyDescent="0.3">
      <c r="A38" s="1107" t="str">
        <f>'1.5'!B11</f>
        <v>1.5.8</v>
      </c>
      <c r="B38" s="977"/>
      <c r="C38" s="977"/>
      <c r="D38" s="977" t="str">
        <f>'1.5'!E11</f>
        <v>Assembly, Testing, &amp; QA</v>
      </c>
      <c r="E38" s="977"/>
      <c r="F38" s="977"/>
      <c r="G38" s="977"/>
      <c r="H38" s="977"/>
      <c r="I38" s="1108">
        <f>'1.5'!L11/1000</f>
        <v>0</v>
      </c>
      <c r="J38" s="476">
        <f>'1.5'!G11</f>
        <v>70979.020979020977</v>
      </c>
      <c r="K38" s="1086">
        <f t="shared" si="0"/>
        <v>3.7844648592787345E-3</v>
      </c>
      <c r="L38" s="476">
        <f>'1.5'!H11</f>
        <v>619778.22765398095</v>
      </c>
      <c r="M38" s="1086">
        <f t="shared" si="1"/>
        <v>8.2945388997974108E-3</v>
      </c>
      <c r="N38" s="476">
        <f>'1.5'!I11</f>
        <v>2818651.5989721431</v>
      </c>
      <c r="O38" s="1086">
        <f t="shared" si="2"/>
        <v>1.0810117047867445E-2</v>
      </c>
      <c r="P38" s="476">
        <f>'1.5'!J11</f>
        <v>5411811.0700265132</v>
      </c>
      <c r="Q38" s="1088">
        <f t="shared" si="3"/>
        <v>1.0885001832694257E-2</v>
      </c>
      <c r="R38" s="997"/>
    </row>
    <row r="39" spans="1:18" s="986" customFormat="1" ht="14.45" outlineLevel="1" x14ac:dyDescent="0.3">
      <c r="A39" s="1107" t="str">
        <f>'1.5'!B12</f>
        <v>1.5.9</v>
      </c>
      <c r="B39" s="977"/>
      <c r="C39" s="977"/>
      <c r="D39" s="977" t="str">
        <f>'1.5'!E12</f>
        <v>PTO Mount</v>
      </c>
      <c r="E39" s="977"/>
      <c r="F39" s="977"/>
      <c r="G39" s="977"/>
      <c r="H39" s="977"/>
      <c r="I39" s="1108">
        <f>'1.5'!L12/1000</f>
        <v>10.5</v>
      </c>
      <c r="J39" s="476">
        <f>'1.5'!G12</f>
        <v>94500</v>
      </c>
      <c r="K39" s="1086">
        <f t="shared" ref="K39:K40" si="4">J39/$J$52</f>
        <v>5.0385582143707567E-3</v>
      </c>
      <c r="L39" s="476">
        <f>'1.5'!H12</f>
        <v>665930.20678916702</v>
      </c>
      <c r="M39" s="1086">
        <f t="shared" ref="M39:M40" si="5">L39/$L$52</f>
        <v>8.9121943274307284E-3</v>
      </c>
      <c r="N39" s="476">
        <f>'1.5'!I12</f>
        <v>2607072.5474089514</v>
      </c>
      <c r="O39" s="1086">
        <f t="shared" ref="O39:O40" si="6">N39/$N$52</f>
        <v>9.9986672350885486E-3</v>
      </c>
      <c r="P39" s="476">
        <f>'1.5'!J12</f>
        <v>4692730.5853361115</v>
      </c>
      <c r="Q39" s="1088">
        <f t="shared" ref="Q39:Q40" si="7">P39/$P$52</f>
        <v>9.4386851944322815E-3</v>
      </c>
      <c r="R39" s="997"/>
    </row>
    <row r="40" spans="1:18" s="986" customFormat="1" ht="14.45" outlineLevel="1" x14ac:dyDescent="0.3">
      <c r="A40" s="1109" t="str">
        <f>'1.5'!B13</f>
        <v>1.5.10</v>
      </c>
      <c r="B40" s="897"/>
      <c r="C40" s="897"/>
      <c r="D40" s="897" t="str">
        <f>'1.5'!E13</f>
        <v>Other</v>
      </c>
      <c r="E40" s="897"/>
      <c r="F40" s="897"/>
      <c r="G40" s="897"/>
      <c r="H40" s="897"/>
      <c r="I40" s="1110">
        <f>'1.5'!L13/1000</f>
        <v>0</v>
      </c>
      <c r="J40" s="916">
        <f>'1.5'!G13</f>
        <v>17500</v>
      </c>
      <c r="K40" s="1090">
        <f t="shared" si="4"/>
        <v>9.3306633599458467E-4</v>
      </c>
      <c r="L40" s="916">
        <f>'1.5'!H13</f>
        <v>83389.228105789283</v>
      </c>
      <c r="M40" s="1090">
        <f t="shared" si="5"/>
        <v>1.1160043471770801E-3</v>
      </c>
      <c r="N40" s="916">
        <f>'1.5'!I13</f>
        <v>248348.69157426283</v>
      </c>
      <c r="O40" s="1090">
        <f t="shared" si="6"/>
        <v>9.5246905491317725E-4</v>
      </c>
      <c r="P40" s="916">
        <f>'1.5'!J13</f>
        <v>397357.90651882044</v>
      </c>
      <c r="Q40" s="1091">
        <f t="shared" si="7"/>
        <v>7.9922256795851598E-4</v>
      </c>
      <c r="R40" s="997"/>
    </row>
    <row r="41" spans="1:18" s="78" customFormat="1" ht="14.45" x14ac:dyDescent="0.3">
      <c r="A41" s="1158">
        <v>1.6</v>
      </c>
      <c r="B41" s="1159"/>
      <c r="C41" s="1159" t="s">
        <v>71</v>
      </c>
      <c r="D41" s="1159"/>
      <c r="E41" s="1159"/>
      <c r="F41" s="1159"/>
      <c r="G41" s="1159"/>
      <c r="H41" s="1159"/>
      <c r="I41" s="1159"/>
      <c r="J41" s="1166">
        <f>'1.6'!E7</f>
        <v>440518.94198491372</v>
      </c>
      <c r="K41" s="1161">
        <f t="shared" ref="K41:K48" si="8">J41/$J$52</f>
        <v>2.3487622579089967E-2</v>
      </c>
      <c r="L41" s="1166">
        <f>'1.6'!F7</f>
        <v>3156150.9091653102</v>
      </c>
      <c r="M41" s="1161">
        <f t="shared" ref="M41:M48" si="9">L41/$L$52</f>
        <v>4.2239006343924253E-2</v>
      </c>
      <c r="N41" s="1166">
        <f>'1.6'!G7</f>
        <v>13960530.909747072</v>
      </c>
      <c r="O41" s="1161">
        <f t="shared" ref="O41:O48" si="10">N41/$N$52</f>
        <v>5.3541549171870088E-2</v>
      </c>
      <c r="P41" s="1166">
        <f>'1.6'!H7</f>
        <v>27034941.442656536</v>
      </c>
      <c r="Q41" s="1162">
        <f t="shared" ref="Q41:Q48" si="11">P41/$P$52</f>
        <v>5.4376507853341714E-2</v>
      </c>
    </row>
    <row r="42" spans="1:18" s="78" customFormat="1" ht="14.45" x14ac:dyDescent="0.3">
      <c r="A42" s="1158">
        <v>1.7</v>
      </c>
      <c r="B42" s="1159"/>
      <c r="C42" s="1159" t="s">
        <v>46</v>
      </c>
      <c r="D42" s="1159"/>
      <c r="E42" s="1159"/>
      <c r="F42" s="1159"/>
      <c r="G42" s="1159"/>
      <c r="H42" s="1159"/>
      <c r="I42" s="1159"/>
      <c r="J42" s="1160">
        <f>SUM(J43:J48)</f>
        <v>5908522.3300000001</v>
      </c>
      <c r="K42" s="1161">
        <f t="shared" si="8"/>
        <v>0.3150310446625878</v>
      </c>
      <c r="L42" s="1160">
        <f>SUM(L43:L48)</f>
        <v>9081973.1555555556</v>
      </c>
      <c r="M42" s="1161">
        <f t="shared" si="9"/>
        <v>0.12154473368775419</v>
      </c>
      <c r="N42" s="1160">
        <f>SUM(N43:N48)</f>
        <v>21531225.377777778</v>
      </c>
      <c r="O42" s="1161">
        <f t="shared" si="10"/>
        <v>8.2576742227620056E-2</v>
      </c>
      <c r="P42" s="1160">
        <f>SUM(P43:P48)</f>
        <v>37859590.655555554</v>
      </c>
      <c r="Q42" s="1162">
        <f t="shared" si="11"/>
        <v>7.6148577313279647E-2</v>
      </c>
    </row>
    <row r="43" spans="1:18" s="986" customFormat="1" ht="14.45" outlineLevel="1" x14ac:dyDescent="0.3">
      <c r="A43" s="1084" t="s">
        <v>72</v>
      </c>
      <c r="B43" s="977"/>
      <c r="C43" s="977"/>
      <c r="D43" s="977" t="str">
        <f>'1.7 (RM3)'!D5</f>
        <v>Transport to Staging Site</v>
      </c>
      <c r="E43" s="977"/>
      <c r="F43" s="977"/>
      <c r="G43" s="977"/>
      <c r="H43" s="977"/>
      <c r="I43" s="977"/>
      <c r="J43" s="476">
        <f>'1.7 (RM3)'!F5</f>
        <v>29750</v>
      </c>
      <c r="K43" s="1086">
        <f t="shared" si="8"/>
        <v>1.5862127711907938E-3</v>
      </c>
      <c r="L43" s="476">
        <f>'1.7 (RM3)'!G5</f>
        <v>297500</v>
      </c>
      <c r="M43" s="1086">
        <f t="shared" si="9"/>
        <v>3.9814650024579314E-3</v>
      </c>
      <c r="N43" s="476">
        <f>'1.7 (RM3)'!H5</f>
        <v>1487500</v>
      </c>
      <c r="O43" s="1086">
        <f t="shared" si="10"/>
        <v>5.7048728954534923E-3</v>
      </c>
      <c r="P43" s="476">
        <f>'1.7 (RM3)'!I5</f>
        <v>2975000</v>
      </c>
      <c r="Q43" s="1088">
        <f t="shared" si="11"/>
        <v>5.9837418626121344E-3</v>
      </c>
    </row>
    <row r="44" spans="1:18" s="986" customFormat="1" ht="14.45" outlineLevel="1" x14ac:dyDescent="0.3">
      <c r="A44" s="1084" t="s">
        <v>73</v>
      </c>
      <c r="B44" s="977"/>
      <c r="C44" s="977"/>
      <c r="D44" s="977" t="str">
        <f>'1.7 (RM3)'!D6</f>
        <v>Cable Shore Landing</v>
      </c>
      <c r="E44" s="977"/>
      <c r="F44" s="977"/>
      <c r="G44" s="977"/>
      <c r="H44" s="977"/>
      <c r="I44" s="977"/>
      <c r="J44" s="476">
        <f>'1.7 (RM3)'!F6</f>
        <v>667000</v>
      </c>
      <c r="K44" s="1086">
        <f t="shared" si="8"/>
        <v>3.5563156920479309E-2</v>
      </c>
      <c r="L44" s="476">
        <f>'1.7 (RM3)'!G6</f>
        <v>767200</v>
      </c>
      <c r="M44" s="1086">
        <f t="shared" si="9"/>
        <v>1.0267495629867984E-2</v>
      </c>
      <c r="N44" s="476">
        <f>'1.7 (RM3)'!H6</f>
        <v>767200</v>
      </c>
      <c r="O44" s="1086">
        <f t="shared" si="10"/>
        <v>2.9423720910197776E-3</v>
      </c>
      <c r="P44" s="476">
        <f>'1.7 (RM3)'!I6</f>
        <v>1534000</v>
      </c>
      <c r="Q44" s="1088">
        <f t="shared" si="11"/>
        <v>3.0853983251250467E-3</v>
      </c>
    </row>
    <row r="45" spans="1:18" s="986" customFormat="1" ht="14.45" outlineLevel="1" x14ac:dyDescent="0.3">
      <c r="A45" s="1084" t="s">
        <v>74</v>
      </c>
      <c r="B45" s="977"/>
      <c r="C45" s="977"/>
      <c r="D45" s="977" t="str">
        <f>'1.7 (RM3)'!D7</f>
        <v>Mooring/Foundation System</v>
      </c>
      <c r="E45" s="977"/>
      <c r="F45" s="977"/>
      <c r="G45" s="977"/>
      <c r="H45" s="977"/>
      <c r="I45" s="977"/>
      <c r="J45" s="476">
        <f>'1.7 (RM3)'!F7</f>
        <v>3193833.5500000003</v>
      </c>
      <c r="K45" s="1086">
        <f t="shared" si="8"/>
        <v>0.17028906104429012</v>
      </c>
      <c r="L45" s="476">
        <f>'1.7 (RM3)'!G7</f>
        <v>3904558.5555555555</v>
      </c>
      <c r="M45" s="1086">
        <f t="shared" si="9"/>
        <v>5.2255002484007183E-2</v>
      </c>
      <c r="N45" s="476">
        <f>'1.7 (RM3)'!H7</f>
        <v>7063960.777777778</v>
      </c>
      <c r="O45" s="1086">
        <f t="shared" si="10"/>
        <v>2.7091763613909928E-2</v>
      </c>
      <c r="P45" s="476">
        <f>'1.7 (RM3)'!I7</f>
        <v>11013213.555555556</v>
      </c>
      <c r="Q45" s="1088">
        <f t="shared" si="11"/>
        <v>2.215133680479503E-2</v>
      </c>
    </row>
    <row r="46" spans="1:18" s="986" customFormat="1" ht="14.45" outlineLevel="1" x14ac:dyDescent="0.3">
      <c r="A46" s="1084" t="s">
        <v>75</v>
      </c>
      <c r="B46" s="977"/>
      <c r="C46" s="977"/>
      <c r="D46" s="977" t="str">
        <f>'1.7 (RM3)'!D8</f>
        <v>Cable Installation</v>
      </c>
      <c r="E46" s="977"/>
      <c r="F46" s="977"/>
      <c r="G46" s="977"/>
      <c r="H46" s="977"/>
      <c r="I46" s="977"/>
      <c r="J46" s="476">
        <f>'1.7 (RM3)'!F8</f>
        <v>1507533.78</v>
      </c>
      <c r="K46" s="1086">
        <f t="shared" si="8"/>
        <v>8.0378801171009498E-2</v>
      </c>
      <c r="L46" s="476">
        <f>'1.7 (RM3)'!G8</f>
        <v>2280164.6</v>
      </c>
      <c r="M46" s="1086">
        <f t="shared" si="9"/>
        <v>3.0515615310062149E-2</v>
      </c>
      <c r="N46" s="476">
        <f>'1.7 (RM3)'!H8</f>
        <v>4503814.5999999996</v>
      </c>
      <c r="O46" s="1086">
        <f t="shared" si="10"/>
        <v>1.7273068798445521E-2</v>
      </c>
      <c r="P46" s="476">
        <f>'1.7 (RM3)'!I8</f>
        <v>7283377.0999999996</v>
      </c>
      <c r="Q46" s="1088">
        <f t="shared" si="11"/>
        <v>1.4649360825028761E-2</v>
      </c>
    </row>
    <row r="47" spans="1:18" s="986" customFormat="1" ht="14.45" outlineLevel="1" x14ac:dyDescent="0.3">
      <c r="A47" s="1084" t="s">
        <v>76</v>
      </c>
      <c r="B47" s="977"/>
      <c r="C47" s="977"/>
      <c r="D47" s="977" t="str">
        <f>'1.7 (RM3)'!D9</f>
        <v>Device Installation</v>
      </c>
      <c r="E47" s="977"/>
      <c r="F47" s="977"/>
      <c r="G47" s="977"/>
      <c r="H47" s="977"/>
      <c r="I47" s="977"/>
      <c r="J47" s="476">
        <f>'1.7 (RM3)'!F9</f>
        <v>255202.5</v>
      </c>
      <c r="K47" s="1086">
        <f t="shared" si="8"/>
        <v>1.3606906377809027E-2</v>
      </c>
      <c r="L47" s="476">
        <f>'1.7 (RM3)'!G9</f>
        <v>916275</v>
      </c>
      <c r="M47" s="1086">
        <f t="shared" si="9"/>
        <v>1.2262577630679467E-2</v>
      </c>
      <c r="N47" s="476">
        <f>'1.7 (RM3)'!H9</f>
        <v>3854375</v>
      </c>
      <c r="O47" s="1086">
        <f t="shared" si="10"/>
        <v>1.4782332414395668E-2</v>
      </c>
      <c r="P47" s="476">
        <f>'1.7 (RM3)'!I9</f>
        <v>7527000</v>
      </c>
      <c r="Q47" s="1088">
        <f t="shared" si="11"/>
        <v>1.513936974785934E-2</v>
      </c>
    </row>
    <row r="48" spans="1:18" s="986" customFormat="1" ht="14.45" outlineLevel="1" x14ac:dyDescent="0.3">
      <c r="A48" s="1089" t="s">
        <v>77</v>
      </c>
      <c r="B48" s="897"/>
      <c r="C48" s="897"/>
      <c r="D48" s="897" t="str">
        <f>'1.7 (RM3)'!D10</f>
        <v>Device Commissioning</v>
      </c>
      <c r="E48" s="897"/>
      <c r="F48" s="897"/>
      <c r="G48" s="897"/>
      <c r="H48" s="897"/>
      <c r="I48" s="897"/>
      <c r="J48" s="916">
        <f>'1.7 (RM3)'!F10</f>
        <v>255202.5</v>
      </c>
      <c r="K48" s="1090">
        <f t="shared" si="8"/>
        <v>1.3606906377809027E-2</v>
      </c>
      <c r="L48" s="916">
        <f>'1.7 (RM3)'!G10</f>
        <v>916275</v>
      </c>
      <c r="M48" s="1090">
        <f t="shared" si="9"/>
        <v>1.2262577630679467E-2</v>
      </c>
      <c r="N48" s="916">
        <f>'1.7 (RM3)'!H10</f>
        <v>3854375</v>
      </c>
      <c r="O48" s="1090">
        <f t="shared" si="10"/>
        <v>1.4782332414395668E-2</v>
      </c>
      <c r="P48" s="916">
        <f>'1.7 (RM3)'!I10</f>
        <v>7527000</v>
      </c>
      <c r="Q48" s="1091">
        <f t="shared" si="11"/>
        <v>1.513936974785934E-2</v>
      </c>
    </row>
    <row r="49" spans="1:20" s="896" customFormat="1" ht="14.45" x14ac:dyDescent="0.3">
      <c r="A49" s="1167">
        <v>1.8</v>
      </c>
      <c r="B49" s="1168"/>
      <c r="C49" s="1159" t="s">
        <v>144</v>
      </c>
      <c r="D49" s="1168"/>
      <c r="E49" s="1168"/>
      <c r="F49" s="1168"/>
      <c r="G49" s="1168"/>
      <c r="H49" s="1168"/>
      <c r="I49" s="1168"/>
      <c r="J49" s="1166">
        <f>J42</f>
        <v>5908522.3300000001</v>
      </c>
      <c r="K49" s="1169">
        <f>10%*(K42+K41+K30+K23+K18+K12+K5)</f>
        <v>8.5545913175923624E-2</v>
      </c>
      <c r="L49" s="1166">
        <f>L42</f>
        <v>9081973.1555555556</v>
      </c>
      <c r="M49" s="1169">
        <f>10%*(M42+M41+M30+M23+M18+M12+M5)</f>
        <v>8.7867709249263293E-2</v>
      </c>
      <c r="N49" s="1166">
        <f>N42</f>
        <v>21531225.377777778</v>
      </c>
      <c r="O49" s="1169">
        <f>10%*(O42+O41+O30+O23+O18+O12+O5)</f>
        <v>8.9188882481247067E-2</v>
      </c>
      <c r="P49" s="1166">
        <f>P42</f>
        <v>37859590.655555554</v>
      </c>
      <c r="Q49" s="1170">
        <f>10%*(Q42+Q41+Q30+Q23+Q18+Q12+Q5)</f>
        <v>8.9878617349776757E-2</v>
      </c>
      <c r="R49" s="78"/>
    </row>
    <row r="50" spans="1:20" s="78" customFormat="1" ht="14.45" x14ac:dyDescent="0.3">
      <c r="A50" s="1171">
        <v>1.9</v>
      </c>
      <c r="B50" s="1159"/>
      <c r="C50" s="1159" t="s">
        <v>142</v>
      </c>
      <c r="D50" s="1159"/>
      <c r="E50" s="1159"/>
      <c r="F50" s="1159"/>
      <c r="G50" s="1159"/>
      <c r="H50" s="1159"/>
      <c r="I50" s="1159"/>
      <c r="J50" s="1172">
        <f t="shared" ref="J50:Q50" si="12">10%*(J42+J41+J30+J23+J18+J12+J4)</f>
        <v>1705033.2109702481</v>
      </c>
      <c r="K50" s="1169">
        <f t="shared" si="12"/>
        <v>9.0909090909090912E-2</v>
      </c>
      <c r="L50" s="1172">
        <f t="shared" si="12"/>
        <v>6792839.9543279186</v>
      </c>
      <c r="M50" s="1169">
        <f t="shared" si="12"/>
        <v>9.0909090909090912E-2</v>
      </c>
      <c r="N50" s="1172">
        <f t="shared" si="12"/>
        <v>23703818.68368046</v>
      </c>
      <c r="O50" s="1169">
        <f t="shared" si="12"/>
        <v>9.0909090909090898E-2</v>
      </c>
      <c r="P50" s="1172">
        <f t="shared" si="12"/>
        <v>45198230.74996113</v>
      </c>
      <c r="Q50" s="1170">
        <f t="shared" si="12"/>
        <v>9.0909090909090898E-2</v>
      </c>
      <c r="T50" s="753"/>
    </row>
    <row r="51" spans="1:20" s="986" customFormat="1" ht="14.45" outlineLevel="1" x14ac:dyDescent="0.3">
      <c r="A51" s="410"/>
      <c r="K51" s="896"/>
      <c r="M51" s="896"/>
      <c r="O51" s="896"/>
    </row>
    <row r="52" spans="1:20" s="986" customFormat="1" ht="14.45" outlineLevel="1" x14ac:dyDescent="0.3">
      <c r="A52" s="1158" t="s">
        <v>456</v>
      </c>
      <c r="B52" s="1159"/>
      <c r="C52" s="1159"/>
      <c r="D52" s="1159"/>
      <c r="E52" s="1159"/>
      <c r="F52" s="1159"/>
      <c r="G52" s="1159"/>
      <c r="H52" s="1159"/>
      <c r="I52" s="1163">
        <f>I30+I23</f>
        <v>836.16486569872961</v>
      </c>
      <c r="J52" s="1160">
        <f>J50+J42+J41+J30+J23+J18+J12+J4</f>
        <v>18755365.320672728</v>
      </c>
      <c r="K52" s="1169">
        <f>K49+K42+K41+K30+K23+K18+K12+K4</f>
        <v>0.99463682226683281</v>
      </c>
      <c r="L52" s="1160">
        <f>L50+L42+L41+L30+L23+L18+L12+L4</f>
        <v>74721239.497607112</v>
      </c>
      <c r="M52" s="1169">
        <f>M49+M42+M41+M30+M23+M18+M12+M4</f>
        <v>0.9969586183401723</v>
      </c>
      <c r="N52" s="1160">
        <f>N50+N42+N41+N30+N23+N18+N12+N4</f>
        <v>260742005.52048504</v>
      </c>
      <c r="O52" s="1169">
        <f>O49+O42+O41+O30+O23+O18+O12+O4</f>
        <v>0.99827979157215618</v>
      </c>
      <c r="P52" s="1160">
        <f>P50+P42+P41+P30+P23+P18+P12+P4</f>
        <v>497180538.2495724</v>
      </c>
      <c r="Q52" s="1170">
        <f>Q49+Q42+Q41+Q30+Q23+Q18+Q12+Q4</f>
        <v>0.99896952644068571</v>
      </c>
      <c r="S52" s="781"/>
    </row>
    <row r="53" spans="1:20" s="986" customFormat="1" ht="14.45" outlineLevel="1" x14ac:dyDescent="0.3">
      <c r="A53" s="410"/>
      <c r="J53" s="971"/>
      <c r="K53" s="82"/>
      <c r="L53" s="971"/>
      <c r="M53" s="82"/>
      <c r="N53" s="971"/>
      <c r="O53" s="82"/>
      <c r="P53" s="971"/>
    </row>
    <row r="54" spans="1:20" s="78" customFormat="1" ht="14.45" x14ac:dyDescent="0.3">
      <c r="A54" s="1158">
        <v>2</v>
      </c>
      <c r="B54" s="1159" t="s">
        <v>57</v>
      </c>
      <c r="C54" s="1159"/>
      <c r="D54" s="1159"/>
      <c r="E54" s="1159"/>
      <c r="F54" s="1159"/>
      <c r="G54" s="1159"/>
      <c r="H54" s="1159"/>
      <c r="I54" s="1159"/>
      <c r="J54" s="1160">
        <f>SUM(J55:J60)</f>
        <v>1141810.8414713321</v>
      </c>
      <c r="K54" s="1174">
        <f>J54/$J$52</f>
        <v>6.0879157614317107E-2</v>
      </c>
      <c r="L54" s="1160">
        <f>SUM(L55:L60)</f>
        <v>4620739.9269734882</v>
      </c>
      <c r="M54" s="1174">
        <f>L54/$L$52</f>
        <v>6.1839711948588109E-2</v>
      </c>
      <c r="N54" s="1160">
        <f>SUM(N55:N60)</f>
        <v>5844619.2684555566</v>
      </c>
      <c r="O54" s="1174">
        <f>N54/$N$52</f>
        <v>2.2415334486626772E-2</v>
      </c>
      <c r="P54" s="1160">
        <f>SUM(P55:P60)</f>
        <v>7292856.2740995111</v>
      </c>
      <c r="Q54" s="1162">
        <f>P54/$P$52</f>
        <v>1.466842668414884E-2</v>
      </c>
    </row>
    <row r="55" spans="1:20" s="986" customFormat="1" ht="14.45" outlineLevel="1" x14ac:dyDescent="0.3">
      <c r="A55" s="1084">
        <v>2.1</v>
      </c>
      <c r="B55" s="977"/>
      <c r="C55" s="977" t="s">
        <v>51</v>
      </c>
      <c r="D55" s="977"/>
      <c r="E55" s="977"/>
      <c r="F55" s="977"/>
      <c r="G55" s="977"/>
      <c r="H55" s="977"/>
      <c r="I55" s="977"/>
      <c r="J55" s="476">
        <f>'2.1'!E4</f>
        <v>262098.97066099962</v>
      </c>
      <c r="K55" s="831">
        <f t="shared" ref="K55:K60" si="13">J55/$J$52</f>
        <v>1.3974612927006346E-2</v>
      </c>
      <c r="L55" s="476">
        <f>'2.1'!F4</f>
        <v>1194756.829384062</v>
      </c>
      <c r="M55" s="831">
        <f t="shared" ref="M55:M60" si="14">L55/$L$52</f>
        <v>1.5989521017278133E-2</v>
      </c>
      <c r="N55" s="476">
        <f>'2.1'!G4</f>
        <v>2268773.8088291218</v>
      </c>
      <c r="O55" s="831">
        <f t="shared" ref="O55:O60" si="15">N55/$N$52</f>
        <v>8.7012209801035564E-3</v>
      </c>
      <c r="P55" s="476">
        <f>'2.1'!H4</f>
        <v>2205917.4675544677</v>
      </c>
      <c r="Q55" s="1088">
        <f t="shared" ref="Q55:Q60" si="16">P55/$P$52</f>
        <v>4.436854015486727E-3</v>
      </c>
      <c r="R55" s="78"/>
    </row>
    <row r="56" spans="1:20" s="986" customFormat="1" ht="14.45" outlineLevel="1" x14ac:dyDescent="0.3">
      <c r="A56" s="1084">
        <v>2.2000000000000002</v>
      </c>
      <c r="B56" s="977"/>
      <c r="C56" s="977" t="s">
        <v>52</v>
      </c>
      <c r="D56" s="977"/>
      <c r="E56" s="977"/>
      <c r="F56" s="977"/>
      <c r="G56" s="977"/>
      <c r="H56" s="977"/>
      <c r="I56" s="977"/>
      <c r="J56" s="476">
        <f>'2.2'!E4</f>
        <v>465000</v>
      </c>
      <c r="K56" s="831">
        <f t="shared" si="13"/>
        <v>2.4792905499284677E-2</v>
      </c>
      <c r="L56" s="476">
        <f>'2.2'!F4</f>
        <v>2085000</v>
      </c>
      <c r="M56" s="831">
        <f t="shared" si="14"/>
        <v>2.7903712706301806E-2</v>
      </c>
      <c r="N56" s="476">
        <f>'2.2'!G4</f>
        <v>1785000</v>
      </c>
      <c r="O56" s="831">
        <f t="shared" si="15"/>
        <v>6.8458474745441908E-3</v>
      </c>
      <c r="P56" s="476">
        <f>'2.2'!H4</f>
        <v>1785000</v>
      </c>
      <c r="Q56" s="1088">
        <f t="shared" si="16"/>
        <v>3.5902451175672807E-3</v>
      </c>
      <c r="R56" s="994"/>
      <c r="S56" s="971"/>
    </row>
    <row r="57" spans="1:20" s="986" customFormat="1" ht="14.45" outlineLevel="1" x14ac:dyDescent="0.3">
      <c r="A57" s="1084">
        <v>2.2999999999999998</v>
      </c>
      <c r="B57" s="977"/>
      <c r="C57" s="977" t="s">
        <v>53</v>
      </c>
      <c r="D57" s="977"/>
      <c r="E57" s="977"/>
      <c r="F57" s="977"/>
      <c r="G57" s="977"/>
      <c r="H57" s="977"/>
      <c r="I57" s="977"/>
      <c r="J57" s="476">
        <f>'2.3'!F5</f>
        <v>75785</v>
      </c>
      <c r="K57" s="831">
        <f t="shared" si="13"/>
        <v>4.0407104156199771E-3</v>
      </c>
      <c r="L57" s="476">
        <f>'2.3'!G5</f>
        <v>757850</v>
      </c>
      <c r="M57" s="831">
        <f t="shared" si="14"/>
        <v>1.0142363872647877E-2</v>
      </c>
      <c r="N57" s="476">
        <f>'2.3'!H5</f>
        <v>617700</v>
      </c>
      <c r="O57" s="831">
        <f t="shared" si="15"/>
        <v>2.3690083949725192E-3</v>
      </c>
      <c r="P57" s="476">
        <f>'2.3'!I5</f>
        <v>1235400</v>
      </c>
      <c r="Q57" s="1088">
        <f t="shared" si="16"/>
        <v>2.4848116628810187E-3</v>
      </c>
      <c r="R57" s="753"/>
      <c r="S57" s="781"/>
    </row>
    <row r="58" spans="1:20" s="986" customFormat="1" ht="14.45" outlineLevel="1" x14ac:dyDescent="0.3">
      <c r="A58" s="1084">
        <v>2.4</v>
      </c>
      <c r="B58" s="977"/>
      <c r="C58" s="977" t="s">
        <v>54</v>
      </c>
      <c r="D58" s="977"/>
      <c r="E58" s="977"/>
      <c r="F58" s="977"/>
      <c r="G58" s="977"/>
      <c r="H58" s="977"/>
      <c r="I58" s="977"/>
      <c r="J58" s="476">
        <f>'2.4'!E4</f>
        <v>261561</v>
      </c>
      <c r="K58" s="831">
        <f t="shared" si="13"/>
        <v>1.3945929366233118E-2</v>
      </c>
      <c r="L58" s="476">
        <f>'2.4'!F4</f>
        <v>399936</v>
      </c>
      <c r="M58" s="831">
        <f t="shared" si="14"/>
        <v>5.3523737385647576E-3</v>
      </c>
      <c r="N58" s="476">
        <f>'2.4'!G4</f>
        <v>454692</v>
      </c>
      <c r="O58" s="831">
        <f t="shared" si="15"/>
        <v>1.7438387002215391E-3</v>
      </c>
      <c r="P58" s="476">
        <f>'2.4'!H4</f>
        <v>674634</v>
      </c>
      <c r="Q58" s="1088">
        <f t="shared" si="16"/>
        <v>1.3569195656273866E-3</v>
      </c>
      <c r="R58" s="78"/>
    </row>
    <row r="59" spans="1:20" s="986" customFormat="1" ht="14.45" outlineLevel="1" x14ac:dyDescent="0.3">
      <c r="A59" s="1120">
        <v>2.5</v>
      </c>
      <c r="B59" s="977"/>
      <c r="C59" s="977" t="s">
        <v>55</v>
      </c>
      <c r="D59" s="977"/>
      <c r="E59" s="977"/>
      <c r="F59" s="977"/>
      <c r="G59" s="977"/>
      <c r="H59" s="977"/>
      <c r="I59" s="977"/>
      <c r="J59" s="476">
        <f>'2.5'!E5</f>
        <v>63865.870810332555</v>
      </c>
      <c r="K59" s="831">
        <f t="shared" si="13"/>
        <v>3.4052053755485993E-3</v>
      </c>
      <c r="L59" s="476">
        <f>'2.5'!F5</f>
        <v>48197.097589425961</v>
      </c>
      <c r="M59" s="831">
        <f>L59/$L$52</f>
        <v>6.4502540259613115E-4</v>
      </c>
      <c r="N59" s="476">
        <f>'2.5'!G5</f>
        <v>43453.459626435157</v>
      </c>
      <c r="O59" s="831">
        <f t="shared" si="15"/>
        <v>1.6665308506657651E-4</v>
      </c>
      <c r="P59" s="476">
        <f>'2.5'!H5</f>
        <v>41904.806545043728</v>
      </c>
      <c r="Q59" s="1088">
        <f t="shared" si="16"/>
        <v>8.4284889132181897E-5</v>
      </c>
      <c r="R59" s="78"/>
    </row>
    <row r="60" spans="1:20" s="986" customFormat="1" ht="14.45" outlineLevel="1" x14ac:dyDescent="0.3">
      <c r="A60" s="1089">
        <v>2.6</v>
      </c>
      <c r="B60" s="897"/>
      <c r="C60" s="897" t="s">
        <v>56</v>
      </c>
      <c r="D60" s="897"/>
      <c r="E60" s="897"/>
      <c r="F60" s="897"/>
      <c r="G60" s="897"/>
      <c r="H60" s="897"/>
      <c r="I60" s="897"/>
      <c r="J60" s="916">
        <f>'2.6'!E4</f>
        <v>13500</v>
      </c>
      <c r="K60" s="1121">
        <f t="shared" si="13"/>
        <v>7.1979403062439381E-4</v>
      </c>
      <c r="L60" s="916">
        <f>'2.6'!F4</f>
        <v>135000</v>
      </c>
      <c r="M60" s="1121">
        <f t="shared" si="14"/>
        <v>1.8067152111993976E-3</v>
      </c>
      <c r="N60" s="916">
        <f>'2.6'!G4</f>
        <v>675000</v>
      </c>
      <c r="O60" s="1121">
        <f t="shared" si="15"/>
        <v>2.5887658517183914E-3</v>
      </c>
      <c r="P60" s="916">
        <f>'2.6'!H4</f>
        <v>1350000</v>
      </c>
      <c r="Q60" s="1091">
        <f t="shared" si="16"/>
        <v>2.7153114334542458E-3</v>
      </c>
      <c r="R60" s="78"/>
    </row>
    <row r="61" spans="1:20" ht="14.45" x14ac:dyDescent="0.3">
      <c r="I61" s="59"/>
      <c r="J61" s="59"/>
      <c r="K61" s="75"/>
      <c r="L61" s="59"/>
      <c r="M61" s="75"/>
      <c r="N61" s="59"/>
      <c r="O61" s="75"/>
      <c r="P61" s="59"/>
      <c r="Q61" s="59"/>
    </row>
    <row r="62" spans="1:20" s="57" customFormat="1" ht="14.45" x14ac:dyDescent="0.3">
      <c r="A62" s="1158" t="s">
        <v>181</v>
      </c>
      <c r="B62" s="1159"/>
      <c r="C62" s="1159"/>
      <c r="D62" s="1159"/>
      <c r="E62" s="1159"/>
      <c r="F62" s="1159"/>
      <c r="G62" s="1159"/>
      <c r="H62" s="1159"/>
      <c r="I62" s="1159"/>
      <c r="J62" s="1173">
        <f>J54</f>
        <v>1141810.8414713321</v>
      </c>
      <c r="K62" s="1174">
        <f t="shared" ref="K62:Q62" si="17">SUM(K55:K60)</f>
        <v>6.0879157614317114E-2</v>
      </c>
      <c r="L62" s="1173">
        <f>L54</f>
        <v>4620739.9269734882</v>
      </c>
      <c r="M62" s="1174">
        <f t="shared" si="17"/>
        <v>6.1839711948588102E-2</v>
      </c>
      <c r="N62" s="1173">
        <f>N54</f>
        <v>5844619.2684555566</v>
      </c>
      <c r="O62" s="1174">
        <f t="shared" si="17"/>
        <v>2.2415334486626772E-2</v>
      </c>
      <c r="P62" s="1173">
        <f>P54</f>
        <v>7292856.2740995111</v>
      </c>
      <c r="Q62" s="1162">
        <f t="shared" si="17"/>
        <v>1.4668426684148842E-2</v>
      </c>
    </row>
    <row r="63" spans="1:20" ht="14.45" x14ac:dyDescent="0.3">
      <c r="J63" s="3"/>
      <c r="K63" s="82"/>
      <c r="L63" s="3"/>
      <c r="M63" s="82"/>
      <c r="N63" s="3"/>
      <c r="O63" s="82"/>
      <c r="P63" s="3"/>
    </row>
    <row r="64" spans="1:20" ht="14.45" x14ac:dyDescent="0.3">
      <c r="J64" s="4"/>
      <c r="K64" s="75"/>
      <c r="L64" s="4"/>
      <c r="M64" s="75"/>
      <c r="N64" s="4"/>
      <c r="O64" s="75"/>
      <c r="P64" s="4"/>
    </row>
    <row r="65" spans="1:20" thickBot="1" x14ac:dyDescent="0.35">
      <c r="A65" s="1123" t="s">
        <v>725</v>
      </c>
      <c r="B65" s="1124"/>
      <c r="C65" s="1124"/>
      <c r="D65" s="1124"/>
      <c r="E65" s="1124"/>
      <c r="F65" s="1124"/>
      <c r="G65" s="1124"/>
      <c r="H65" s="1124"/>
      <c r="I65" s="1124"/>
      <c r="J65" s="1125">
        <f>'CBS (CoE)'!J66</f>
        <v>3.5945450299687276</v>
      </c>
      <c r="K65" s="1125"/>
      <c r="L65" s="1125">
        <f>'CBS (CoE)'!L66</f>
        <v>1.4402068054539348</v>
      </c>
      <c r="M65" s="1125"/>
      <c r="N65" s="1125">
        <f>'CBS (CoE)'!N66</f>
        <v>0.77188698620099538</v>
      </c>
      <c r="O65" s="1125"/>
      <c r="P65" s="1125">
        <f>'CBS (CoE)'!P66</f>
        <v>0.69221745057962181</v>
      </c>
      <c r="Q65" s="1126"/>
    </row>
    <row r="66" spans="1:20" ht="15.75" thickTop="1" x14ac:dyDescent="0.25"/>
    <row r="68" spans="1:20" x14ac:dyDescent="0.25">
      <c r="J68" s="459"/>
    </row>
    <row r="69" spans="1:20" x14ac:dyDescent="0.25">
      <c r="J69" s="459"/>
      <c r="K69" s="767"/>
    </row>
    <row r="70" spans="1:20" x14ac:dyDescent="0.25">
      <c r="J70" s="459"/>
      <c r="K70" s="767"/>
    </row>
    <row r="71" spans="1:20" x14ac:dyDescent="0.25">
      <c r="J71" s="459"/>
      <c r="K71" s="767"/>
      <c r="L71" s="1044"/>
    </row>
    <row r="72" spans="1:20" x14ac:dyDescent="0.25">
      <c r="J72" s="459"/>
      <c r="K72" s="767"/>
    </row>
    <row r="73" spans="1:20" x14ac:dyDescent="0.25">
      <c r="J73" s="459"/>
    </row>
    <row r="74" spans="1:20" x14ac:dyDescent="0.25">
      <c r="J74" s="459"/>
      <c r="K74" s="767"/>
    </row>
    <row r="75" spans="1:20" x14ac:dyDescent="0.25">
      <c r="J75" s="459"/>
    </row>
    <row r="77" spans="1:20" x14ac:dyDescent="0.25">
      <c r="T77" s="923"/>
    </row>
  </sheetData>
  <dataConsolidate/>
  <mergeCells count="1">
    <mergeCell ref="J1:P1"/>
  </mergeCells>
  <pageMargins left="0.7" right="0.7" top="0.75" bottom="0.75" header="0.3" footer="0.3"/>
  <pageSetup orientation="portrait" horizontalDpi="4294967293"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70" zoomScaleNormal="70" zoomScalePageLayoutView="70" workbookViewId="0">
      <selection activeCell="B90" sqref="B90"/>
    </sheetView>
  </sheetViews>
  <sheetFormatPr defaultColWidth="8.85546875" defaultRowHeight="15" x14ac:dyDescent="0.25"/>
  <cols>
    <col min="1" max="1" width="8.7109375" style="745" customWidth="1"/>
    <col min="2" max="2" width="7.85546875" style="745" customWidth="1"/>
    <col min="3" max="3" width="35.28515625" style="745" customWidth="1"/>
    <col min="4" max="4" width="13.140625" style="745" customWidth="1"/>
    <col min="5" max="5" width="19.42578125" style="745" customWidth="1"/>
    <col min="6" max="6" width="17.42578125" style="745" customWidth="1"/>
    <col min="7" max="7" width="16.42578125" style="745" bestFit="1" customWidth="1"/>
    <col min="8" max="8" width="18.140625" style="745" bestFit="1" customWidth="1"/>
    <col min="9" max="9" width="17.7109375" style="745" bestFit="1" customWidth="1"/>
    <col min="10" max="10" width="16.28515625" style="745" customWidth="1"/>
    <col min="11" max="11" width="15" style="745" customWidth="1"/>
    <col min="12" max="12" width="18.7109375" style="745" customWidth="1"/>
    <col min="13" max="13" width="17.28515625" style="745" customWidth="1"/>
    <col min="14" max="14" width="18.85546875" style="745" customWidth="1"/>
    <col min="15" max="15" width="14.42578125" style="745" customWidth="1"/>
    <col min="16" max="16" width="8.85546875" style="745"/>
    <col min="17" max="17" width="11.140625" style="745" customWidth="1"/>
    <col min="18" max="18" width="12.28515625" style="745" customWidth="1"/>
    <col min="19" max="19" width="10.42578125" style="745" customWidth="1"/>
    <col min="20" max="20" width="12.42578125" style="745" bestFit="1" customWidth="1"/>
    <col min="21" max="21" width="12" style="745" bestFit="1" customWidth="1"/>
    <col min="22" max="16384" width="8.85546875" style="745"/>
  </cols>
  <sheetData>
    <row r="1" spans="1:15" ht="14.45" x14ac:dyDescent="0.3">
      <c r="A1" s="595" t="s">
        <v>363</v>
      </c>
      <c r="J1" s="481"/>
      <c r="K1" s="481"/>
      <c r="L1" s="481"/>
      <c r="M1" s="481"/>
      <c r="N1" s="481"/>
      <c r="O1" s="481"/>
    </row>
    <row r="2" spans="1:15" ht="14.45" x14ac:dyDescent="0.3">
      <c r="A2" s="595"/>
      <c r="E2" s="400"/>
      <c r="F2" s="400"/>
      <c r="G2" s="400"/>
      <c r="H2" s="400"/>
      <c r="J2" s="481"/>
      <c r="K2" s="481"/>
      <c r="L2" s="481"/>
      <c r="M2" s="481"/>
      <c r="N2" s="481"/>
      <c r="O2" s="481"/>
    </row>
    <row r="3" spans="1:15" ht="14.45" x14ac:dyDescent="0.3">
      <c r="A3" s="595" t="s">
        <v>109</v>
      </c>
      <c r="E3" s="400"/>
      <c r="J3" s="481"/>
      <c r="K3" s="481"/>
      <c r="L3" s="481"/>
      <c r="M3" s="481"/>
      <c r="N3" s="481"/>
      <c r="O3" s="481"/>
    </row>
    <row r="4" spans="1:15" ht="14.45" x14ac:dyDescent="0.3">
      <c r="B4" s="384"/>
      <c r="E4" s="407" t="s">
        <v>84</v>
      </c>
      <c r="F4" s="407" t="s">
        <v>106</v>
      </c>
      <c r="G4" s="407" t="s">
        <v>108</v>
      </c>
      <c r="H4" s="407" t="s">
        <v>107</v>
      </c>
      <c r="J4" s="481"/>
      <c r="K4" s="476"/>
      <c r="L4" s="476"/>
      <c r="M4" s="476"/>
      <c r="N4" s="476"/>
      <c r="O4" s="461"/>
    </row>
    <row r="5" spans="1:15" ht="14.45" x14ac:dyDescent="0.3">
      <c r="B5" s="384" t="s">
        <v>100</v>
      </c>
      <c r="C5" s="745" t="s">
        <v>3</v>
      </c>
      <c r="E5" s="164">
        <f>F20</f>
        <v>315000</v>
      </c>
      <c r="F5" s="164">
        <f>G20</f>
        <v>430000</v>
      </c>
      <c r="G5" s="164">
        <f>H20</f>
        <v>430000</v>
      </c>
      <c r="H5" s="164">
        <f>H20</f>
        <v>430000</v>
      </c>
      <c r="J5" s="481"/>
      <c r="K5" s="463"/>
      <c r="L5" s="463"/>
      <c r="M5" s="463"/>
      <c r="N5" s="463"/>
      <c r="O5" s="481"/>
    </row>
    <row r="6" spans="1:15" ht="14.45" x14ac:dyDescent="0.3">
      <c r="B6" s="384" t="s">
        <v>101</v>
      </c>
      <c r="C6" s="745" t="s">
        <v>5</v>
      </c>
      <c r="E6" s="164">
        <f>F36</f>
        <v>1631000</v>
      </c>
      <c r="F6" s="164">
        <f>G36</f>
        <v>2566000</v>
      </c>
      <c r="G6" s="164">
        <f>H36</f>
        <v>3348500</v>
      </c>
      <c r="H6" s="164">
        <f>H36</f>
        <v>3348500</v>
      </c>
      <c r="J6" s="481"/>
      <c r="K6" s="481"/>
      <c r="L6" s="481"/>
      <c r="M6" s="481"/>
      <c r="N6" s="481"/>
      <c r="O6" s="481"/>
    </row>
    <row r="7" spans="1:15" ht="14.45" x14ac:dyDescent="0.3">
      <c r="B7" s="384" t="s">
        <v>102</v>
      </c>
      <c r="C7" s="745" t="s">
        <v>7</v>
      </c>
      <c r="E7" s="164">
        <f>F52</f>
        <v>855000</v>
      </c>
      <c r="F7" s="164">
        <f>G52</f>
        <v>14577500</v>
      </c>
      <c r="G7" s="164">
        <f>H52</f>
        <v>17427500</v>
      </c>
      <c r="H7" s="164">
        <f>H52</f>
        <v>17427500</v>
      </c>
      <c r="J7" s="481"/>
      <c r="K7" s="481"/>
      <c r="L7" s="481"/>
      <c r="M7" s="481"/>
      <c r="N7" s="481"/>
      <c r="O7" s="481"/>
    </row>
    <row r="8" spans="1:15" ht="14.45" x14ac:dyDescent="0.3">
      <c r="A8" s="595"/>
      <c r="B8" s="384" t="s">
        <v>103</v>
      </c>
      <c r="C8" s="745" t="s">
        <v>8</v>
      </c>
      <c r="E8" s="164">
        <f>F58</f>
        <v>1100000</v>
      </c>
      <c r="F8" s="164">
        <f>G58</f>
        <v>1700000</v>
      </c>
      <c r="G8" s="164">
        <f>H58</f>
        <v>1925000</v>
      </c>
      <c r="H8" s="164">
        <f>H58</f>
        <v>1925000</v>
      </c>
      <c r="J8" s="481"/>
      <c r="K8" s="481"/>
      <c r="L8" s="481"/>
      <c r="M8" s="481"/>
      <c r="N8" s="481"/>
      <c r="O8" s="481"/>
    </row>
    <row r="9" spans="1:15" ht="14.45" x14ac:dyDescent="0.3">
      <c r="A9" s="595"/>
      <c r="B9" s="384" t="s">
        <v>4</v>
      </c>
      <c r="C9" s="745" t="s">
        <v>104</v>
      </c>
      <c r="E9" s="401">
        <f>F65</f>
        <v>193963</v>
      </c>
      <c r="F9" s="401">
        <f t="shared" ref="F9:H9" si="0">G65</f>
        <v>294061</v>
      </c>
      <c r="G9" s="401">
        <f t="shared" si="0"/>
        <v>294061</v>
      </c>
      <c r="H9" s="401">
        <f t="shared" si="0"/>
        <v>294061</v>
      </c>
    </row>
    <row r="10" spans="1:15" ht="14.45" x14ac:dyDescent="0.3">
      <c r="A10" s="595"/>
      <c r="B10" s="384" t="s">
        <v>6</v>
      </c>
      <c r="C10" s="745" t="s">
        <v>143</v>
      </c>
      <c r="E10" s="401">
        <f>F71</f>
        <v>811920.57665249903</v>
      </c>
      <c r="F10" s="401">
        <f t="shared" ref="F10:H10" si="1">G71</f>
        <v>1978497.0740760928</v>
      </c>
      <c r="G10" s="401">
        <f t="shared" si="1"/>
        <v>4656938.8376582433</v>
      </c>
      <c r="H10" s="401">
        <f t="shared" si="1"/>
        <v>4471530.5451089358</v>
      </c>
    </row>
    <row r="11" spans="1:15" ht="14.45" x14ac:dyDescent="0.3">
      <c r="A11" s="595"/>
      <c r="B11" s="384"/>
      <c r="E11" s="401"/>
      <c r="F11" s="401"/>
      <c r="G11" s="401"/>
      <c r="H11" s="401"/>
    </row>
    <row r="12" spans="1:15" ht="14.45" x14ac:dyDescent="0.3">
      <c r="A12" s="595"/>
      <c r="B12" s="384"/>
      <c r="C12" s="288" t="s">
        <v>80</v>
      </c>
      <c r="D12" s="288"/>
      <c r="E12" s="514">
        <f>SUM(E5:E10)</f>
        <v>4906883.5766524989</v>
      </c>
      <c r="F12" s="514">
        <f t="shared" ref="F12:H12" si="2">SUM(F5:F10)</f>
        <v>21546058.074076094</v>
      </c>
      <c r="G12" s="514">
        <f t="shared" si="2"/>
        <v>28081999.837658241</v>
      </c>
      <c r="H12" s="514">
        <f t="shared" si="2"/>
        <v>27896591.545108937</v>
      </c>
      <c r="I12" s="480"/>
      <c r="J12" s="745">
        <v>500</v>
      </c>
    </row>
    <row r="13" spans="1:15" ht="14.45" x14ac:dyDescent="0.3">
      <c r="A13" s="595"/>
      <c r="B13" s="384"/>
      <c r="E13" s="480"/>
      <c r="F13" s="480"/>
      <c r="G13" s="480"/>
      <c r="H13" s="480"/>
      <c r="I13" s="480"/>
      <c r="J13" s="745">
        <v>1150</v>
      </c>
    </row>
    <row r="14" spans="1:15" s="595" customFormat="1" ht="14.45" x14ac:dyDescent="0.3">
      <c r="A14" s="595" t="s">
        <v>100</v>
      </c>
      <c r="B14" s="599" t="s">
        <v>116</v>
      </c>
      <c r="E14" s="78"/>
      <c r="F14" s="354" t="s">
        <v>97</v>
      </c>
      <c r="G14" s="354" t="s">
        <v>87</v>
      </c>
      <c r="H14" s="354" t="s">
        <v>187</v>
      </c>
      <c r="I14" s="78"/>
      <c r="J14" s="595">
        <f>AVERAGE(J12,J13)</f>
        <v>825</v>
      </c>
    </row>
    <row r="15" spans="1:15" ht="14.45" x14ac:dyDescent="0.3">
      <c r="A15" s="595"/>
      <c r="B15" s="376"/>
      <c r="C15" s="52" t="s">
        <v>243</v>
      </c>
      <c r="D15" s="482"/>
      <c r="E15" s="402"/>
      <c r="F15" s="355">
        <v>90000</v>
      </c>
      <c r="G15" s="355">
        <f>F15</f>
        <v>90000</v>
      </c>
      <c r="H15" s="355">
        <f>F15</f>
        <v>90000</v>
      </c>
      <c r="I15" s="480"/>
    </row>
    <row r="16" spans="1:15" ht="14.45" x14ac:dyDescent="0.3">
      <c r="A16" s="595"/>
      <c r="B16" s="376"/>
      <c r="C16" s="378" t="s">
        <v>117</v>
      </c>
      <c r="D16" s="482"/>
      <c r="E16" s="402"/>
      <c r="F16" s="355">
        <v>75000</v>
      </c>
      <c r="G16" s="355">
        <f>F16+10000</f>
        <v>85000</v>
      </c>
      <c r="H16" s="355">
        <f>F16+10000</f>
        <v>85000</v>
      </c>
      <c r="I16" s="480"/>
    </row>
    <row r="17" spans="1:10" ht="14.45" x14ac:dyDescent="0.3">
      <c r="A17" s="595"/>
      <c r="B17" s="376"/>
      <c r="C17" s="378" t="s">
        <v>118</v>
      </c>
      <c r="D17" s="482"/>
      <c r="E17" s="402"/>
      <c r="F17" s="355">
        <v>65000</v>
      </c>
      <c r="G17" s="355">
        <f>F17+65000</f>
        <v>130000</v>
      </c>
      <c r="H17" s="355">
        <f>F17+65000</f>
        <v>130000</v>
      </c>
      <c r="I17" s="480"/>
    </row>
    <row r="18" spans="1:10" ht="14.45" x14ac:dyDescent="0.3">
      <c r="A18" s="595"/>
      <c r="B18" s="376"/>
      <c r="C18" s="378" t="s">
        <v>119</v>
      </c>
      <c r="D18" s="482"/>
      <c r="E18" s="402"/>
      <c r="F18" s="355">
        <v>85000</v>
      </c>
      <c r="G18" s="355">
        <f>F18+40000</f>
        <v>125000</v>
      </c>
      <c r="H18" s="355">
        <f>F18+40000</f>
        <v>125000</v>
      </c>
      <c r="I18" s="480"/>
    </row>
    <row r="19" spans="1:10" ht="14.45" x14ac:dyDescent="0.3">
      <c r="A19" s="595"/>
      <c r="B19" s="376"/>
      <c r="C19" s="378"/>
      <c r="D19" s="482"/>
      <c r="E19" s="402"/>
      <c r="F19" s="355"/>
      <c r="G19" s="355"/>
      <c r="H19" s="355"/>
      <c r="I19" s="480"/>
      <c r="J19" s="745">
        <f>965*30</f>
        <v>28950</v>
      </c>
    </row>
    <row r="20" spans="1:10" s="746" customFormat="1" ht="14.45" x14ac:dyDescent="0.3">
      <c r="B20" s="376"/>
      <c r="C20" s="95" t="s">
        <v>83</v>
      </c>
      <c r="D20" s="183"/>
      <c r="E20" s="103"/>
      <c r="F20" s="191">
        <f>SUM(F15:F18)</f>
        <v>315000</v>
      </c>
      <c r="G20" s="191">
        <f t="shared" ref="G20:H20" si="3">SUM(G15:G18)</f>
        <v>430000</v>
      </c>
      <c r="H20" s="191">
        <f t="shared" si="3"/>
        <v>430000</v>
      </c>
      <c r="I20" s="75"/>
    </row>
    <row r="21" spans="1:10" ht="14.45" x14ac:dyDescent="0.3">
      <c r="A21" s="595"/>
      <c r="B21" s="376"/>
      <c r="C21" s="52"/>
      <c r="D21" s="482"/>
      <c r="E21" s="402"/>
      <c r="F21" s="391"/>
      <c r="G21" s="283"/>
      <c r="H21" s="286"/>
      <c r="I21" s="480"/>
    </row>
    <row r="22" spans="1:10" s="595" customFormat="1" ht="14.45" x14ac:dyDescent="0.3">
      <c r="A22" s="595" t="s">
        <v>101</v>
      </c>
      <c r="B22" s="160" t="s">
        <v>5</v>
      </c>
      <c r="C22" s="161"/>
      <c r="D22" s="29"/>
      <c r="E22" s="461"/>
      <c r="F22" s="354" t="s">
        <v>97</v>
      </c>
      <c r="G22" s="354" t="s">
        <v>87</v>
      </c>
      <c r="H22" s="354" t="s">
        <v>187</v>
      </c>
      <c r="I22" s="78"/>
    </row>
    <row r="23" spans="1:10" s="595" customFormat="1" ht="14.45" x14ac:dyDescent="0.3">
      <c r="B23" s="160"/>
      <c r="C23" s="52" t="s">
        <v>244</v>
      </c>
      <c r="D23" s="29"/>
      <c r="E23" s="461"/>
      <c r="F23" s="355">
        <v>0</v>
      </c>
      <c r="G23" s="355">
        <v>140000</v>
      </c>
      <c r="H23" s="355">
        <v>140000</v>
      </c>
      <c r="I23" s="78"/>
    </row>
    <row r="24" spans="1:10" ht="14.45" x14ac:dyDescent="0.3">
      <c r="A24" s="595"/>
      <c r="B24" s="376"/>
      <c r="C24" s="378" t="s">
        <v>234</v>
      </c>
      <c r="D24" s="482"/>
      <c r="E24" s="402"/>
      <c r="F24" s="355">
        <v>110000</v>
      </c>
      <c r="G24" s="355">
        <f>F24+40000</f>
        <v>150000</v>
      </c>
      <c r="H24" s="355">
        <f>F24+200000</f>
        <v>310000</v>
      </c>
      <c r="I24" s="480"/>
    </row>
    <row r="25" spans="1:10" ht="14.45" x14ac:dyDescent="0.3">
      <c r="A25" s="595"/>
      <c r="B25" s="376"/>
      <c r="C25" s="378" t="s">
        <v>235</v>
      </c>
      <c r="D25" s="482"/>
      <c r="E25" s="402"/>
      <c r="F25" s="355">
        <v>552500</v>
      </c>
      <c r="G25" s="355">
        <f>F25+65000</f>
        <v>617500</v>
      </c>
      <c r="H25" s="355">
        <f>F25+185000</f>
        <v>737500</v>
      </c>
      <c r="I25" s="480"/>
    </row>
    <row r="26" spans="1:10" ht="14.45" x14ac:dyDescent="0.3">
      <c r="A26" s="595"/>
      <c r="B26" s="376"/>
      <c r="C26" s="378" t="s">
        <v>120</v>
      </c>
      <c r="D26" s="482"/>
      <c r="E26" s="402"/>
      <c r="F26" s="355">
        <v>617000</v>
      </c>
      <c r="G26" s="355">
        <f>F26+65000</f>
        <v>682000</v>
      </c>
      <c r="H26" s="355">
        <f>F26+310000</f>
        <v>927000</v>
      </c>
      <c r="I26" s="480"/>
    </row>
    <row r="27" spans="1:10" ht="14.45" x14ac:dyDescent="0.3">
      <c r="A27" s="595"/>
      <c r="B27" s="376"/>
      <c r="C27" s="465" t="s">
        <v>236</v>
      </c>
      <c r="D27" s="482"/>
      <c r="E27" s="402"/>
      <c r="F27" s="355">
        <v>93500</v>
      </c>
      <c r="G27" s="355">
        <f>F27+30000</f>
        <v>123500</v>
      </c>
      <c r="H27" s="355">
        <f>F27+30000</f>
        <v>123500</v>
      </c>
      <c r="I27" s="480"/>
    </row>
    <row r="28" spans="1:10" ht="14.45" x14ac:dyDescent="0.3">
      <c r="A28" s="595"/>
      <c r="B28" s="376"/>
      <c r="C28" s="378" t="s">
        <v>237</v>
      </c>
      <c r="D28" s="482"/>
      <c r="E28" s="402"/>
      <c r="F28" s="355">
        <v>23500</v>
      </c>
      <c r="G28" s="355">
        <f>F28+65000</f>
        <v>88500</v>
      </c>
      <c r="H28" s="355">
        <f>F28+65000</f>
        <v>88500</v>
      </c>
      <c r="I28" s="480"/>
    </row>
    <row r="29" spans="1:10" ht="14.45" x14ac:dyDescent="0.3">
      <c r="A29" s="595"/>
      <c r="B29" s="376"/>
      <c r="C29" s="378" t="s">
        <v>238</v>
      </c>
      <c r="D29" s="482"/>
      <c r="E29" s="402"/>
      <c r="F29" s="355">
        <v>47000</v>
      </c>
      <c r="G29" s="355">
        <f>F29+112500</f>
        <v>159500</v>
      </c>
      <c r="H29" s="355">
        <f>F29+160000</f>
        <v>207000</v>
      </c>
      <c r="I29" s="480"/>
    </row>
    <row r="30" spans="1:10" ht="14.45" x14ac:dyDescent="0.3">
      <c r="A30" s="595"/>
      <c r="B30" s="376"/>
      <c r="C30" s="378" t="s">
        <v>121</v>
      </c>
      <c r="D30" s="482"/>
      <c r="E30" s="402"/>
      <c r="F30" s="355">
        <v>20000</v>
      </c>
      <c r="G30" s="355">
        <f>F30+40000</f>
        <v>60000</v>
      </c>
      <c r="H30" s="355">
        <f>F30+227500</f>
        <v>247500</v>
      </c>
      <c r="I30" s="480"/>
    </row>
    <row r="31" spans="1:10" ht="14.45" x14ac:dyDescent="0.3">
      <c r="A31" s="595"/>
      <c r="B31" s="376"/>
      <c r="C31" s="378" t="s">
        <v>122</v>
      </c>
      <c r="D31" s="482"/>
      <c r="E31" s="402"/>
      <c r="F31" s="355">
        <v>105000</v>
      </c>
      <c r="G31" s="355">
        <f>F31+15000</f>
        <v>120000</v>
      </c>
      <c r="H31" s="355">
        <f>F31+22500</f>
        <v>127500</v>
      </c>
      <c r="I31" s="480"/>
    </row>
    <row r="32" spans="1:10" ht="14.45" x14ac:dyDescent="0.3">
      <c r="A32" s="595"/>
      <c r="B32" s="376"/>
      <c r="C32" s="378" t="s">
        <v>123</v>
      </c>
      <c r="D32" s="482"/>
      <c r="E32" s="402"/>
      <c r="F32" s="355">
        <v>12500</v>
      </c>
      <c r="G32" s="355">
        <f>F32</f>
        <v>12500</v>
      </c>
      <c r="H32" s="355">
        <f>F32+15000</f>
        <v>27500</v>
      </c>
      <c r="I32" s="480"/>
    </row>
    <row r="33" spans="1:10" ht="14.45" x14ac:dyDescent="0.3">
      <c r="A33" s="595"/>
      <c r="B33" s="376"/>
      <c r="C33" s="378" t="s">
        <v>124</v>
      </c>
      <c r="D33" s="482"/>
      <c r="E33" s="402"/>
      <c r="F33" s="355">
        <v>50000</v>
      </c>
      <c r="G33" s="355">
        <f>F33+250000</f>
        <v>300000</v>
      </c>
      <c r="H33" s="355">
        <f>F33+250000</f>
        <v>300000</v>
      </c>
      <c r="I33" s="480"/>
    </row>
    <row r="34" spans="1:10" ht="14.45" x14ac:dyDescent="0.3">
      <c r="A34" s="595"/>
      <c r="B34" s="376"/>
      <c r="C34" s="378" t="s">
        <v>517</v>
      </c>
      <c r="D34" s="482"/>
      <c r="E34" s="402"/>
      <c r="F34" s="355">
        <v>0</v>
      </c>
      <c r="G34" s="355">
        <f>F34+112500</f>
        <v>112500</v>
      </c>
      <c r="H34" s="355">
        <f>F34+112500</f>
        <v>112500</v>
      </c>
      <c r="I34" s="480"/>
    </row>
    <row r="35" spans="1:10" ht="14.45" x14ac:dyDescent="0.3">
      <c r="A35" s="595"/>
      <c r="B35" s="376"/>
      <c r="C35" s="378"/>
      <c r="D35" s="482"/>
      <c r="E35" s="402"/>
      <c r="F35" s="355"/>
      <c r="G35" s="355"/>
      <c r="H35" s="355"/>
      <c r="I35" s="480"/>
    </row>
    <row r="36" spans="1:10" s="746" customFormat="1" ht="14.45" x14ac:dyDescent="0.3">
      <c r="B36" s="376"/>
      <c r="C36" s="95" t="s">
        <v>83</v>
      </c>
      <c r="D36" s="183"/>
      <c r="E36" s="103"/>
      <c r="F36" s="191">
        <f>SUM(F23:F34)</f>
        <v>1631000</v>
      </c>
      <c r="G36" s="191">
        <f>SUM(G23:G34)</f>
        <v>2566000</v>
      </c>
      <c r="H36" s="191">
        <f>SUM(H23:H34)</f>
        <v>3348500</v>
      </c>
      <c r="I36" s="710"/>
      <c r="J36" s="710"/>
    </row>
    <row r="37" spans="1:10" ht="14.45" x14ac:dyDescent="0.3">
      <c r="A37" s="595"/>
      <c r="B37" s="376"/>
      <c r="C37" s="52"/>
      <c r="D37" s="482"/>
      <c r="E37" s="402"/>
      <c r="F37" s="480"/>
      <c r="G37" s="480"/>
      <c r="H37" s="480"/>
      <c r="I37" s="480"/>
    </row>
    <row r="38" spans="1:10" ht="14.45" x14ac:dyDescent="0.3">
      <c r="A38" s="595"/>
      <c r="B38" s="376"/>
      <c r="C38" s="52"/>
      <c r="D38" s="482"/>
      <c r="E38" s="402"/>
      <c r="F38" s="480"/>
      <c r="G38" s="402"/>
      <c r="H38" s="391"/>
      <c r="I38" s="480"/>
    </row>
    <row r="39" spans="1:10" s="595" customFormat="1" ht="14.45" x14ac:dyDescent="0.3">
      <c r="A39" s="595" t="s">
        <v>102</v>
      </c>
      <c r="B39" s="160" t="s">
        <v>125</v>
      </c>
      <c r="C39" s="161"/>
      <c r="D39" s="29"/>
      <c r="E39" s="461"/>
      <c r="F39" s="354" t="s">
        <v>97</v>
      </c>
      <c r="G39" s="354" t="s">
        <v>87</v>
      </c>
      <c r="H39" s="354" t="s">
        <v>187</v>
      </c>
      <c r="I39" s="716" t="s">
        <v>524</v>
      </c>
    </row>
    <row r="40" spans="1:10" ht="14.45" x14ac:dyDescent="0.3">
      <c r="A40" s="595"/>
      <c r="B40" s="376"/>
      <c r="C40" s="378" t="s">
        <v>239</v>
      </c>
      <c r="D40" s="482"/>
      <c r="E40" s="402"/>
      <c r="F40" s="258">
        <v>362500</v>
      </c>
      <c r="G40" s="355">
        <f>F40+177500</f>
        <v>540000</v>
      </c>
      <c r="H40" s="355">
        <f>F40+315000</f>
        <v>677500</v>
      </c>
      <c r="I40" s="711" t="s">
        <v>520</v>
      </c>
    </row>
    <row r="41" spans="1:10" ht="14.45" x14ac:dyDescent="0.3">
      <c r="A41" s="595"/>
      <c r="B41" s="376"/>
      <c r="C41" s="378" t="s">
        <v>240</v>
      </c>
      <c r="D41" s="482"/>
      <c r="E41" s="402"/>
      <c r="F41" s="258">
        <v>0</v>
      </c>
      <c r="G41" s="355">
        <f>F41+177500</f>
        <v>177500</v>
      </c>
      <c r="H41" s="355">
        <f>F41+315000</f>
        <v>315000</v>
      </c>
      <c r="I41" s="711" t="s">
        <v>520</v>
      </c>
    </row>
    <row r="42" spans="1:10" ht="14.45" x14ac:dyDescent="0.3">
      <c r="A42" s="595"/>
      <c r="B42" s="376"/>
      <c r="C42" s="378" t="s">
        <v>236</v>
      </c>
      <c r="D42" s="482"/>
      <c r="E42" s="402"/>
      <c r="F42" s="258">
        <v>200000</v>
      </c>
      <c r="G42" s="355">
        <f>F42+90000</f>
        <v>290000</v>
      </c>
      <c r="H42" s="355">
        <f>F42+90000</f>
        <v>290000</v>
      </c>
      <c r="I42" s="711" t="s">
        <v>520</v>
      </c>
    </row>
    <row r="43" spans="1:10" ht="14.45" x14ac:dyDescent="0.3">
      <c r="A43" s="595"/>
      <c r="B43" s="376"/>
      <c r="C43" s="378" t="s">
        <v>241</v>
      </c>
      <c r="D43" s="482"/>
      <c r="E43" s="402"/>
      <c r="F43" s="258">
        <v>225000</v>
      </c>
      <c r="G43" s="355">
        <f>F43+300000</f>
        <v>525000</v>
      </c>
      <c r="H43" s="355">
        <f>F43+375000</f>
        <v>600000</v>
      </c>
      <c r="I43" s="711" t="s">
        <v>520</v>
      </c>
    </row>
    <row r="44" spans="1:10" ht="14.45" x14ac:dyDescent="0.3">
      <c r="A44" s="595"/>
      <c r="B44" s="376"/>
      <c r="C44" s="378" t="s">
        <v>242</v>
      </c>
      <c r="D44" s="482"/>
      <c r="E44" s="402"/>
      <c r="F44" s="258">
        <v>67500</v>
      </c>
      <c r="G44" s="355">
        <f>F44</f>
        <v>67500</v>
      </c>
      <c r="H44" s="355">
        <f>F44</f>
        <v>67500</v>
      </c>
      <c r="I44" s="711"/>
    </row>
    <row r="45" spans="1:10" ht="14.45" x14ac:dyDescent="0.3">
      <c r="A45" s="595"/>
      <c r="B45" s="376"/>
      <c r="C45" s="378" t="s">
        <v>245</v>
      </c>
      <c r="D45" s="482"/>
      <c r="E45" s="402"/>
      <c r="F45" s="258">
        <v>0</v>
      </c>
      <c r="G45" s="355">
        <v>350000</v>
      </c>
      <c r="H45" s="355">
        <v>350000</v>
      </c>
      <c r="I45" s="711" t="s">
        <v>521</v>
      </c>
    </row>
    <row r="46" spans="1:10" ht="14.45" x14ac:dyDescent="0.3">
      <c r="A46" s="595"/>
      <c r="B46" s="376"/>
      <c r="C46" s="378" t="s">
        <v>246</v>
      </c>
      <c r="D46" s="482"/>
      <c r="E46" s="402"/>
      <c r="F46" s="258">
        <v>0</v>
      </c>
      <c r="G46" s="355">
        <v>350000</v>
      </c>
      <c r="H46" s="355">
        <v>350000</v>
      </c>
      <c r="I46" s="711" t="s">
        <v>521</v>
      </c>
    </row>
    <row r="47" spans="1:10" ht="14.45" x14ac:dyDescent="0.3">
      <c r="A47" s="595"/>
      <c r="B47" s="376"/>
      <c r="C47" s="378" t="s">
        <v>247</v>
      </c>
      <c r="D47" s="482"/>
      <c r="E47" s="402"/>
      <c r="F47" s="258">
        <v>0</v>
      </c>
      <c r="G47" s="355">
        <v>350000</v>
      </c>
      <c r="H47" s="355">
        <v>350000</v>
      </c>
      <c r="I47" s="711" t="s">
        <v>521</v>
      </c>
    </row>
    <row r="48" spans="1:10" ht="14.45" x14ac:dyDescent="0.3">
      <c r="A48" s="595"/>
      <c r="B48" s="376"/>
      <c r="C48" s="378" t="s">
        <v>518</v>
      </c>
      <c r="D48" s="482"/>
      <c r="E48" s="402"/>
      <c r="F48" s="258">
        <v>0</v>
      </c>
      <c r="G48" s="355">
        <v>75000</v>
      </c>
      <c r="H48" s="355">
        <v>750000</v>
      </c>
      <c r="I48" s="711"/>
    </row>
    <row r="49" spans="1:10" ht="14.45" x14ac:dyDescent="0.3">
      <c r="A49" s="595"/>
      <c r="B49" s="376"/>
      <c r="C49" s="465" t="s">
        <v>123</v>
      </c>
      <c r="F49" s="258">
        <v>0</v>
      </c>
      <c r="G49" s="355">
        <v>37500</v>
      </c>
      <c r="H49" s="355">
        <v>37500</v>
      </c>
      <c r="I49" s="711"/>
    </row>
    <row r="50" spans="1:10" ht="14.45" x14ac:dyDescent="0.3">
      <c r="A50" s="595"/>
      <c r="B50" s="384"/>
      <c r="C50" s="377"/>
      <c r="E50" s="480"/>
      <c r="F50" s="164"/>
      <c r="G50" s="355"/>
      <c r="H50" s="355"/>
      <c r="I50" s="711"/>
    </row>
    <row r="51" spans="1:10" s="92" customFormat="1" ht="14.45" x14ac:dyDescent="0.3">
      <c r="B51" s="93"/>
      <c r="C51" s="168" t="s">
        <v>519</v>
      </c>
      <c r="D51" s="183"/>
      <c r="E51" s="103"/>
      <c r="F51" s="191">
        <f>SUM(F40:F49)</f>
        <v>855000</v>
      </c>
      <c r="G51" s="191">
        <f>SUM(G40:G49)</f>
        <v>2762500</v>
      </c>
      <c r="H51" s="191">
        <f>SUM(H40:H49)</f>
        <v>3787500</v>
      </c>
      <c r="I51" s="711"/>
      <c r="J51" s="711"/>
    </row>
    <row r="52" spans="1:10" s="92" customFormat="1" thickBot="1" x14ac:dyDescent="0.35">
      <c r="B52" s="93"/>
      <c r="C52" s="712" t="s">
        <v>522</v>
      </c>
      <c r="D52" s="713"/>
      <c r="E52" s="714"/>
      <c r="F52" s="715">
        <v>855000</v>
      </c>
      <c r="G52" s="715">
        <f>F52+13722500</f>
        <v>14577500</v>
      </c>
      <c r="H52" s="715">
        <f>F52+16572500</f>
        <v>17427500</v>
      </c>
      <c r="I52" s="711" t="s">
        <v>523</v>
      </c>
      <c r="J52" s="711"/>
    </row>
    <row r="53" spans="1:10" thickTop="1" x14ac:dyDescent="0.3">
      <c r="A53" s="595"/>
      <c r="B53" s="384"/>
      <c r="E53" s="480"/>
      <c r="F53" s="480"/>
      <c r="G53" s="391"/>
      <c r="H53" s="391"/>
      <c r="I53" s="480"/>
    </row>
    <row r="54" spans="1:10" s="595" customFormat="1" ht="14.45" x14ac:dyDescent="0.3">
      <c r="A54" s="595" t="s">
        <v>103</v>
      </c>
      <c r="B54" s="160" t="s">
        <v>128</v>
      </c>
      <c r="C54" s="29"/>
      <c r="D54" s="29"/>
      <c r="E54" s="461"/>
      <c r="F54" s="354" t="s">
        <v>97</v>
      </c>
      <c r="G54" s="354" t="s">
        <v>87</v>
      </c>
      <c r="H54" s="354" t="s">
        <v>187</v>
      </c>
      <c r="I54" s="78"/>
    </row>
    <row r="55" spans="1:10" ht="14.45" x14ac:dyDescent="0.3">
      <c r="A55" s="595"/>
      <c r="B55" s="376"/>
      <c r="C55" s="87" t="s">
        <v>126</v>
      </c>
      <c r="D55" s="482"/>
      <c r="E55" s="402"/>
      <c r="F55" s="355">
        <v>800000</v>
      </c>
      <c r="G55" s="355">
        <f>F55+300000</f>
        <v>1100000</v>
      </c>
      <c r="H55" s="355">
        <f>F55+525000</f>
        <v>1325000</v>
      </c>
      <c r="I55" s="169"/>
    </row>
    <row r="56" spans="1:10" ht="14.45" x14ac:dyDescent="0.3">
      <c r="A56" s="595"/>
      <c r="B56" s="376"/>
      <c r="C56" s="87" t="s">
        <v>127</v>
      </c>
      <c r="D56" s="482"/>
      <c r="E56" s="402"/>
      <c r="F56" s="355">
        <v>300000</v>
      </c>
      <c r="G56" s="355">
        <f>F56+300000</f>
        <v>600000</v>
      </c>
      <c r="H56" s="355">
        <f>F56+300000</f>
        <v>600000</v>
      </c>
      <c r="I56" s="169"/>
    </row>
    <row r="57" spans="1:10" ht="14.45" x14ac:dyDescent="0.3">
      <c r="A57" s="595"/>
      <c r="B57" s="376"/>
      <c r="C57" s="87"/>
      <c r="D57" s="482"/>
      <c r="E57" s="402"/>
      <c r="F57" s="355"/>
      <c r="G57" s="355"/>
      <c r="H57" s="355"/>
      <c r="I57" s="169"/>
    </row>
    <row r="58" spans="1:10" s="746" customFormat="1" ht="14.45" x14ac:dyDescent="0.3">
      <c r="B58" s="376"/>
      <c r="C58" s="94" t="s">
        <v>83</v>
      </c>
      <c r="D58" s="183"/>
      <c r="E58" s="103"/>
      <c r="F58" s="191">
        <f>SUM(F55:F56)</f>
        <v>1100000</v>
      </c>
      <c r="G58" s="191">
        <f t="shared" ref="G58:H58" si="4">SUM(G55:G56)</f>
        <v>1700000</v>
      </c>
      <c r="H58" s="191">
        <f t="shared" si="4"/>
        <v>1925000</v>
      </c>
      <c r="I58" s="169"/>
    </row>
    <row r="59" spans="1:10" ht="14.45" x14ac:dyDescent="0.3">
      <c r="A59" s="595"/>
      <c r="B59" s="376"/>
      <c r="C59" s="87"/>
      <c r="D59" s="482"/>
      <c r="E59" s="402"/>
      <c r="F59" s="357"/>
      <c r="G59" s="357"/>
      <c r="H59" s="480"/>
      <c r="I59" s="480"/>
    </row>
    <row r="60" spans="1:10" ht="14.45" x14ac:dyDescent="0.3">
      <c r="E60" s="480"/>
      <c r="F60" s="480"/>
      <c r="G60" s="480"/>
      <c r="H60" s="480"/>
      <c r="I60" s="480"/>
    </row>
    <row r="61" spans="1:10" ht="14.45" x14ac:dyDescent="0.3">
      <c r="A61" s="676" t="s">
        <v>4</v>
      </c>
      <c r="B61" s="676" t="s">
        <v>104</v>
      </c>
      <c r="C61" s="677"/>
      <c r="D61" s="677"/>
      <c r="E61" s="677"/>
      <c r="F61" s="706" t="s">
        <v>84</v>
      </c>
      <c r="G61" s="706" t="s">
        <v>106</v>
      </c>
      <c r="H61" s="706" t="s">
        <v>108</v>
      </c>
      <c r="I61" s="706" t="s">
        <v>107</v>
      </c>
    </row>
    <row r="62" spans="1:10" ht="14.45" x14ac:dyDescent="0.3">
      <c r="A62" s="677"/>
      <c r="B62" s="677"/>
      <c r="C62" s="677" t="s">
        <v>228</v>
      </c>
      <c r="D62" s="677"/>
      <c r="E62" s="677"/>
      <c r="F62" s="707">
        <v>193963</v>
      </c>
      <c r="G62" s="707">
        <v>294061</v>
      </c>
      <c r="H62" s="707">
        <v>294061</v>
      </c>
      <c r="I62" s="707">
        <v>294061</v>
      </c>
    </row>
    <row r="63" spans="1:10" ht="14.45" x14ac:dyDescent="0.3">
      <c r="A63" s="677"/>
      <c r="B63" s="677"/>
      <c r="C63" s="677"/>
      <c r="D63" s="677"/>
      <c r="E63" s="677"/>
      <c r="F63" s="707"/>
      <c r="G63" s="707"/>
      <c r="H63" s="707"/>
      <c r="I63" s="707"/>
    </row>
    <row r="64" spans="1:10" ht="14.45" x14ac:dyDescent="0.3">
      <c r="A64" s="677"/>
      <c r="B64" s="677"/>
      <c r="C64" s="677"/>
      <c r="D64" s="677"/>
      <c r="E64" s="677"/>
      <c r="F64" s="707"/>
      <c r="G64" s="707"/>
      <c r="H64" s="707"/>
      <c r="I64" s="707"/>
    </row>
    <row r="65" spans="1:13" ht="14.45" x14ac:dyDescent="0.3">
      <c r="A65" s="677"/>
      <c r="B65" s="677"/>
      <c r="C65" s="708" t="s">
        <v>83</v>
      </c>
      <c r="D65" s="708"/>
      <c r="E65" s="708"/>
      <c r="F65" s="709">
        <f>SUM(F62:F63)</f>
        <v>193963</v>
      </c>
      <c r="G65" s="709">
        <f t="shared" ref="G65:I65" si="5">SUM(G62:G63)</f>
        <v>294061</v>
      </c>
      <c r="H65" s="709">
        <f t="shared" si="5"/>
        <v>294061</v>
      </c>
      <c r="I65" s="709">
        <f t="shared" si="5"/>
        <v>294061</v>
      </c>
    </row>
    <row r="67" spans="1:13" x14ac:dyDescent="0.25">
      <c r="A67" s="595" t="s">
        <v>6</v>
      </c>
      <c r="B67" s="595" t="s">
        <v>105</v>
      </c>
      <c r="F67" s="407" t="s">
        <v>84</v>
      </c>
      <c r="G67" s="407" t="s">
        <v>106</v>
      </c>
      <c r="H67" s="407" t="s">
        <v>108</v>
      </c>
      <c r="I67" s="407" t="s">
        <v>107</v>
      </c>
    </row>
    <row r="68" spans="1:13" x14ac:dyDescent="0.25">
      <c r="C68" s="745" t="s">
        <v>444</v>
      </c>
      <c r="F68" s="408">
        <f>'CBS (Total)'!J42+'CBS (Total)'!J41+'CBS (Total)'!J30+'CBS (Total)'!J23+'CBS (Total)'!J18+'CBS (Total)'!J12+'CBS (Total)'!J5+'CBS (Total)'!J10</f>
        <v>16238411.53304998</v>
      </c>
      <c r="G68" s="408">
        <f>'CBS (Total)'!L42+'CBS (Total)'!L41+'CBS (Total)'!L30+'CBS (Total)'!L23+'CBS (Total)'!L18+'CBS (Total)'!L12+'CBS (Total)'!L5+'CBS (Total)'!L10</f>
        <v>65949902.4692031</v>
      </c>
      <c r="H68" s="408">
        <f>'CBS (Total)'!N42+'CBS (Total)'!N41+'CBS (Total)'!N30+'CBS (Total)'!N23+'CBS (Total)'!N18+'CBS (Total)'!N12+'CBS (Total)'!N5+'CBS (Total)'!N10</f>
        <v>232846941.88291216</v>
      </c>
      <c r="I68" s="408">
        <f>'CBS (Total)'!P42+'CBS (Total)'!P41+'CBS (Total)'!P30+'CBS (Total)'!P23+'CBS (Total)'!P18+'CBS (Total)'!P12+'CBS (Total)'!P5+'CBS (Total)'!P10</f>
        <v>447153054.51089358</v>
      </c>
      <c r="K68" s="408"/>
      <c r="M68" s="408"/>
    </row>
    <row r="69" spans="1:13" x14ac:dyDescent="0.25">
      <c r="C69" s="745" t="s">
        <v>147</v>
      </c>
      <c r="F69" s="372">
        <v>0.05</v>
      </c>
      <c r="G69" s="372">
        <v>0.03</v>
      </c>
      <c r="H69" s="372">
        <v>0.02</v>
      </c>
      <c r="I69" s="372">
        <v>0.01</v>
      </c>
    </row>
    <row r="70" spans="1:13" x14ac:dyDescent="0.25">
      <c r="F70" s="372"/>
      <c r="G70" s="372"/>
      <c r="H70" s="372"/>
      <c r="I70" s="372"/>
    </row>
    <row r="71" spans="1:13" x14ac:dyDescent="0.25">
      <c r="C71" s="288" t="s">
        <v>78</v>
      </c>
      <c r="D71" s="288"/>
      <c r="E71" s="288"/>
      <c r="F71" s="170">
        <f>F69*F68</f>
        <v>811920.57665249903</v>
      </c>
      <c r="G71" s="170">
        <f t="shared" ref="G71:I71" si="6">G69*G68</f>
        <v>1978497.0740760928</v>
      </c>
      <c r="H71" s="170">
        <f t="shared" si="6"/>
        <v>4656938.8376582433</v>
      </c>
      <c r="I71" s="170">
        <f t="shared" si="6"/>
        <v>4471530.5451089358</v>
      </c>
    </row>
    <row r="75" spans="1:13" x14ac:dyDescent="0.25">
      <c r="A75" s="595" t="s">
        <v>148</v>
      </c>
    </row>
    <row r="76" spans="1:13" x14ac:dyDescent="0.25">
      <c r="A76" s="745" t="s">
        <v>2</v>
      </c>
      <c r="B76" s="745" t="s">
        <v>446</v>
      </c>
    </row>
    <row r="77" spans="1:13" x14ac:dyDescent="0.25">
      <c r="A77" s="745" t="s">
        <v>4</v>
      </c>
      <c r="B77" s="745" t="s">
        <v>447</v>
      </c>
    </row>
    <row r="78" spans="1:13" x14ac:dyDescent="0.25">
      <c r="B78" s="745" t="s">
        <v>448</v>
      </c>
    </row>
    <row r="79" spans="1:13" x14ac:dyDescent="0.25">
      <c r="B79" s="745" t="s">
        <v>449</v>
      </c>
    </row>
    <row r="80" spans="1:13" x14ac:dyDescent="0.25">
      <c r="B80" s="745" t="s">
        <v>450</v>
      </c>
    </row>
    <row r="81" spans="1:2" x14ac:dyDescent="0.25">
      <c r="A81" s="745" t="s">
        <v>6</v>
      </c>
      <c r="B81" s="745" t="s">
        <v>451</v>
      </c>
    </row>
    <row r="83" spans="1:2" x14ac:dyDescent="0.25">
      <c r="A83" s="595" t="s">
        <v>212</v>
      </c>
    </row>
    <row r="84" spans="1:2" x14ac:dyDescent="0.25">
      <c r="A84" s="745" t="s">
        <v>100</v>
      </c>
      <c r="B84" s="745" t="s">
        <v>213</v>
      </c>
    </row>
    <row r="85" spans="1:2" x14ac:dyDescent="0.25">
      <c r="A85" s="745" t="s">
        <v>101</v>
      </c>
      <c r="B85" s="745" t="s">
        <v>213</v>
      </c>
    </row>
    <row r="86" spans="1:2" x14ac:dyDescent="0.25">
      <c r="A86" s="745" t="s">
        <v>102</v>
      </c>
      <c r="B86" s="745" t="s">
        <v>213</v>
      </c>
    </row>
    <row r="87" spans="1:2" x14ac:dyDescent="0.25">
      <c r="A87" s="745" t="s">
        <v>103</v>
      </c>
      <c r="B87" s="745" t="s">
        <v>213</v>
      </c>
    </row>
    <row r="88" spans="1:2" x14ac:dyDescent="0.25">
      <c r="A88" s="745" t="s">
        <v>4</v>
      </c>
      <c r="B88" s="745" t="s">
        <v>525</v>
      </c>
    </row>
    <row r="89" spans="1:2" x14ac:dyDescent="0.25">
      <c r="A89" s="745" t="s">
        <v>6</v>
      </c>
      <c r="B89" s="745" t="s">
        <v>526</v>
      </c>
    </row>
  </sheetData>
  <pageMargins left="0.7" right="0.7" top="0.75" bottom="0.75" header="0.3" footer="0.3"/>
  <pageSetup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R90"/>
  <sheetViews>
    <sheetView zoomScale="70" zoomScaleNormal="70" zoomScalePageLayoutView="70" workbookViewId="0">
      <selection activeCell="C7" sqref="C7"/>
    </sheetView>
  </sheetViews>
  <sheetFormatPr defaultColWidth="8.85546875" defaultRowHeight="15" x14ac:dyDescent="0.25"/>
  <cols>
    <col min="1" max="1" width="8.7109375" customWidth="1"/>
    <col min="2" max="2" width="7.85546875" customWidth="1"/>
    <col min="3" max="3" width="35.28515625" customWidth="1"/>
    <col min="4" max="4" width="13.140625" customWidth="1"/>
    <col min="5" max="5" width="19.42578125" customWidth="1"/>
    <col min="6" max="6" width="17.42578125" customWidth="1"/>
    <col min="7" max="7" width="16.42578125" bestFit="1" customWidth="1"/>
    <col min="8" max="8" width="18.140625" bestFit="1" customWidth="1"/>
    <col min="9" max="9" width="17.7109375" bestFit="1" customWidth="1"/>
    <col min="10" max="10" width="16.28515625" customWidth="1"/>
    <col min="11" max="11" width="15" customWidth="1"/>
    <col min="12" max="12" width="12.140625" customWidth="1"/>
    <col min="13" max="13" width="14.140625" customWidth="1"/>
    <col min="14" max="14" width="21.5703125" bestFit="1" customWidth="1"/>
    <col min="15" max="15" width="22.28515625" bestFit="1" customWidth="1"/>
    <col min="16" max="16" width="20.85546875" bestFit="1" customWidth="1"/>
    <col min="17" max="17" width="21.7109375" bestFit="1" customWidth="1"/>
    <col min="18" max="18" width="12.28515625" customWidth="1"/>
    <col min="19" max="19" width="10.42578125" customWidth="1"/>
    <col min="20" max="20" width="12.42578125" bestFit="1" customWidth="1"/>
    <col min="21" max="21" width="12" bestFit="1" customWidth="1"/>
  </cols>
  <sheetData>
    <row r="1" spans="1:17" s="8" customFormat="1" x14ac:dyDescent="0.25">
      <c r="A1" s="427" t="s">
        <v>363</v>
      </c>
      <c r="C1" s="35"/>
      <c r="D1" s="35"/>
      <c r="E1" s="35"/>
      <c r="J1" s="460"/>
      <c r="K1" s="460"/>
      <c r="L1" s="460"/>
      <c r="M1" s="460"/>
      <c r="N1" s="460"/>
      <c r="O1" s="460"/>
    </row>
    <row r="2" spans="1:17" s="8" customFormat="1" x14ac:dyDescent="0.25">
      <c r="A2" s="9"/>
      <c r="C2" s="35"/>
      <c r="D2" s="35"/>
      <c r="E2" s="77"/>
      <c r="F2" s="400"/>
      <c r="G2" s="400"/>
      <c r="H2" s="400"/>
      <c r="J2" s="460"/>
      <c r="K2" s="460"/>
      <c r="L2" s="460"/>
      <c r="M2" s="460"/>
      <c r="N2" s="460"/>
      <c r="O2" s="460"/>
    </row>
    <row r="3" spans="1:17" x14ac:dyDescent="0.25">
      <c r="A3" s="174" t="s">
        <v>109</v>
      </c>
      <c r="C3" s="35"/>
      <c r="D3" s="35"/>
      <c r="E3" s="400"/>
      <c r="J3" s="460"/>
      <c r="K3" s="460"/>
      <c r="L3" s="460"/>
      <c r="M3" s="460"/>
      <c r="N3" s="460"/>
      <c r="O3" s="460"/>
    </row>
    <row r="4" spans="1:17" s="35" customFormat="1" x14ac:dyDescent="0.25">
      <c r="B4" s="36"/>
      <c r="E4" s="176" t="s">
        <v>84</v>
      </c>
      <c r="F4" s="176" t="s">
        <v>106</v>
      </c>
      <c r="G4" s="176" t="s">
        <v>108</v>
      </c>
      <c r="H4" s="176" t="s">
        <v>107</v>
      </c>
      <c r="J4" s="460"/>
      <c r="K4" s="462"/>
      <c r="L4" s="462"/>
      <c r="M4" s="462"/>
      <c r="N4" s="462"/>
      <c r="O4" s="461"/>
    </row>
    <row r="5" spans="1:17" s="35" customFormat="1" x14ac:dyDescent="0.25">
      <c r="B5" s="36" t="s">
        <v>100</v>
      </c>
      <c r="C5" s="35" t="s">
        <v>3</v>
      </c>
      <c r="E5" s="164">
        <f>F20</f>
        <v>335000</v>
      </c>
      <c r="F5" s="164">
        <f>G20</f>
        <v>421000</v>
      </c>
      <c r="G5" s="164">
        <f>H20</f>
        <v>426000</v>
      </c>
      <c r="H5" s="164">
        <f>H20</f>
        <v>426000</v>
      </c>
      <c r="J5" s="460"/>
      <c r="K5" s="463"/>
      <c r="L5" s="463"/>
      <c r="M5" s="463"/>
      <c r="N5" s="463"/>
      <c r="O5" s="460"/>
    </row>
    <row r="6" spans="1:17" s="35" customFormat="1" x14ac:dyDescent="0.25">
      <c r="B6" s="36" t="s">
        <v>101</v>
      </c>
      <c r="C6" s="35" t="s">
        <v>5</v>
      </c>
      <c r="E6" s="164">
        <f>F37</f>
        <v>1214500</v>
      </c>
      <c r="F6" s="164">
        <f>G37</f>
        <v>2377000</v>
      </c>
      <c r="G6" s="164">
        <f>H37</f>
        <v>2319500</v>
      </c>
      <c r="H6" s="164">
        <f>H37</f>
        <v>2319500</v>
      </c>
      <c r="J6" s="460"/>
      <c r="K6" s="460"/>
      <c r="L6" s="460"/>
      <c r="M6" s="460"/>
      <c r="N6" s="460"/>
      <c r="O6" s="460"/>
    </row>
    <row r="7" spans="1:17" s="35" customFormat="1" x14ac:dyDescent="0.25">
      <c r="B7" s="36" t="s">
        <v>102</v>
      </c>
      <c r="C7" s="35" t="s">
        <v>7</v>
      </c>
      <c r="E7" s="164">
        <f>F52</f>
        <v>465000</v>
      </c>
      <c r="F7" s="1000">
        <f t="shared" ref="F7:G7" si="0">G52</f>
        <v>2085000</v>
      </c>
      <c r="G7" s="1000">
        <f t="shared" si="0"/>
        <v>1785000</v>
      </c>
      <c r="H7" s="1000">
        <f>H52</f>
        <v>1785000</v>
      </c>
      <c r="J7" s="460"/>
      <c r="K7" s="460"/>
      <c r="L7" s="460"/>
      <c r="M7" s="460"/>
      <c r="N7" s="460"/>
      <c r="O7" s="460"/>
    </row>
    <row r="8" spans="1:17" x14ac:dyDescent="0.25">
      <c r="A8" s="9"/>
      <c r="B8" s="36" t="s">
        <v>103</v>
      </c>
      <c r="C8" s="35" t="s">
        <v>8</v>
      </c>
      <c r="D8" s="8"/>
      <c r="E8" s="164">
        <f>F59</f>
        <v>925000</v>
      </c>
      <c r="F8" s="164">
        <f>G59</f>
        <v>1035000</v>
      </c>
      <c r="G8" s="164">
        <f>H59</f>
        <v>1145000</v>
      </c>
      <c r="H8" s="164">
        <f>H59</f>
        <v>1145000</v>
      </c>
      <c r="J8" s="460"/>
      <c r="K8" s="460"/>
      <c r="L8" s="460"/>
      <c r="M8" s="460"/>
      <c r="N8" s="460"/>
      <c r="O8" s="460"/>
    </row>
    <row r="9" spans="1:17" s="35" customFormat="1" ht="14.45" x14ac:dyDescent="0.3">
      <c r="A9" s="40"/>
      <c r="B9" s="36" t="s">
        <v>4</v>
      </c>
      <c r="C9" s="35" t="s">
        <v>104</v>
      </c>
      <c r="E9" s="188">
        <f>F66</f>
        <v>193963</v>
      </c>
      <c r="F9" s="188">
        <f t="shared" ref="F9:H9" si="1">G66</f>
        <v>294061</v>
      </c>
      <c r="G9" s="188">
        <f t="shared" si="1"/>
        <v>294061</v>
      </c>
      <c r="H9" s="188">
        <f t="shared" si="1"/>
        <v>294061</v>
      </c>
    </row>
    <row r="10" spans="1:17" s="35" customFormat="1" thickBot="1" x14ac:dyDescent="0.35">
      <c r="A10" s="40"/>
      <c r="B10" s="36" t="s">
        <v>6</v>
      </c>
      <c r="C10" s="35" t="s">
        <v>143</v>
      </c>
      <c r="E10" s="188">
        <f>F72</f>
        <v>811920.57665249903</v>
      </c>
      <c r="F10" s="188">
        <f t="shared" ref="F10:G10" si="2">G72</f>
        <v>1978497.0740760928</v>
      </c>
      <c r="G10" s="188">
        <f t="shared" si="2"/>
        <v>4191244.9538924186</v>
      </c>
      <c r="H10" s="188">
        <f>I72</f>
        <v>4829252.988717651</v>
      </c>
      <c r="L10" s="595" t="s">
        <v>803</v>
      </c>
    </row>
    <row r="11" spans="1:17" s="478" customFormat="1" ht="14.45" x14ac:dyDescent="0.3">
      <c r="A11" s="427"/>
      <c r="B11" s="384"/>
      <c r="E11" s="401"/>
      <c r="F11" s="401"/>
      <c r="G11" s="401"/>
      <c r="H11" s="401"/>
      <c r="L11" s="835"/>
      <c r="M11" s="836"/>
      <c r="N11" s="836"/>
      <c r="O11" s="836"/>
      <c r="P11" s="836"/>
      <c r="Q11" s="837"/>
    </row>
    <row r="12" spans="1:17" s="35" customFormat="1" ht="14.45" x14ac:dyDescent="0.3">
      <c r="A12" s="40"/>
      <c r="B12" s="36"/>
      <c r="C12" s="288" t="s">
        <v>80</v>
      </c>
      <c r="D12" s="288"/>
      <c r="E12" s="514">
        <f>SUM(E5:E10)</f>
        <v>3945383.5766524989</v>
      </c>
      <c r="F12" s="514">
        <f>SUM(F5:F10)</f>
        <v>8190558.0740760928</v>
      </c>
      <c r="G12" s="514">
        <f t="shared" ref="G12" si="3">SUM(G5:G10)</f>
        <v>10160805.953892419</v>
      </c>
      <c r="H12" s="514">
        <f>SUM(H5:H10)</f>
        <v>10798813.988717651</v>
      </c>
      <c r="I12" s="289"/>
      <c r="L12" s="838">
        <f>L20+L37+L52+L59</f>
        <v>2131000</v>
      </c>
      <c r="M12" s="839">
        <f t="shared" ref="M12:Q12" si="4">M20+M37+M52+M59</f>
        <v>3748000</v>
      </c>
      <c r="N12" s="839">
        <f>N20+N37+N52+N59</f>
        <v>1687000</v>
      </c>
      <c r="O12" s="839">
        <f>O20+O37+O52+O59</f>
        <v>4270000</v>
      </c>
      <c r="P12" s="839">
        <f t="shared" si="4"/>
        <v>1522000</v>
      </c>
      <c r="Q12" s="840">
        <f t="shared" si="4"/>
        <v>3730000</v>
      </c>
    </row>
    <row r="13" spans="1:17" s="35" customFormat="1" ht="14.45" x14ac:dyDescent="0.3">
      <c r="A13" s="40"/>
      <c r="B13" s="36"/>
      <c r="E13" s="289"/>
      <c r="F13" s="289"/>
      <c r="G13" s="289"/>
      <c r="H13" s="289"/>
      <c r="I13" s="289"/>
      <c r="L13" s="841"/>
      <c r="M13" s="479"/>
      <c r="N13" s="479"/>
      <c r="O13" s="479"/>
      <c r="P13" s="479"/>
      <c r="Q13" s="842"/>
    </row>
    <row r="14" spans="1:17" s="57" customFormat="1" ht="14.45" x14ac:dyDescent="0.3">
      <c r="A14" s="57" t="s">
        <v>100</v>
      </c>
      <c r="B14" s="69" t="s">
        <v>116</v>
      </c>
      <c r="E14" s="78"/>
      <c r="F14" s="189" t="s">
        <v>97</v>
      </c>
      <c r="G14" s="189" t="s">
        <v>87</v>
      </c>
      <c r="H14" s="189" t="s">
        <v>187</v>
      </c>
      <c r="I14" s="78"/>
      <c r="L14" s="848" t="s">
        <v>797</v>
      </c>
      <c r="M14" s="849" t="s">
        <v>798</v>
      </c>
      <c r="N14" s="849" t="s">
        <v>799</v>
      </c>
      <c r="O14" s="849" t="s">
        <v>800</v>
      </c>
      <c r="P14" s="849" t="s">
        <v>801</v>
      </c>
      <c r="Q14" s="850" t="s">
        <v>802</v>
      </c>
    </row>
    <row r="15" spans="1:17" s="35" customFormat="1" ht="14.45" x14ac:dyDescent="0.3">
      <c r="A15" s="40"/>
      <c r="B15" s="50"/>
      <c r="C15" s="52" t="s">
        <v>243</v>
      </c>
      <c r="D15" s="46"/>
      <c r="E15" s="292"/>
      <c r="F15" s="355">
        <f>AVERAGE(L15:M15)</f>
        <v>90000</v>
      </c>
      <c r="G15" s="355">
        <f>F15+AVERAGE(N15:O15)</f>
        <v>90000</v>
      </c>
      <c r="H15" s="355">
        <f>F15+AVERAGE(P15:Q15)</f>
        <v>90000</v>
      </c>
      <c r="I15" s="289"/>
      <c r="L15" s="843">
        <v>90000</v>
      </c>
      <c r="M15" s="23">
        <v>90000</v>
      </c>
      <c r="N15" s="23">
        <v>0</v>
      </c>
      <c r="O15" s="23">
        <v>0</v>
      </c>
      <c r="P15" s="23">
        <v>0</v>
      </c>
      <c r="Q15" s="844">
        <v>0</v>
      </c>
    </row>
    <row r="16" spans="1:17" s="35" customFormat="1" ht="14.45" x14ac:dyDescent="0.3">
      <c r="A16" s="40"/>
      <c r="B16" s="50"/>
      <c r="C16" s="53" t="s">
        <v>117</v>
      </c>
      <c r="D16" s="46"/>
      <c r="E16" s="292"/>
      <c r="F16" s="355">
        <f>AVERAGE(L16:M16)</f>
        <v>75000</v>
      </c>
      <c r="G16" s="355">
        <f>F16+AVERAGE(N16:O16)</f>
        <v>85000</v>
      </c>
      <c r="H16" s="1002">
        <f t="shared" ref="H16:H20" si="5">F16+AVERAGE(P16:Q16)</f>
        <v>85000</v>
      </c>
      <c r="I16" s="289"/>
      <c r="L16" s="843">
        <v>50000</v>
      </c>
      <c r="M16" s="23">
        <v>100000</v>
      </c>
      <c r="N16" s="23">
        <v>10000</v>
      </c>
      <c r="O16" s="23">
        <v>10000</v>
      </c>
      <c r="P16" s="23">
        <v>10000</v>
      </c>
      <c r="Q16" s="844">
        <v>10000</v>
      </c>
    </row>
    <row r="17" spans="1:17" s="35" customFormat="1" ht="14.45" x14ac:dyDescent="0.3">
      <c r="A17" s="40"/>
      <c r="B17" s="50"/>
      <c r="C17" s="53" t="s">
        <v>118</v>
      </c>
      <c r="D17" s="46"/>
      <c r="E17" s="292"/>
      <c r="F17" s="355">
        <f>AVERAGE(L17:M17)</f>
        <v>65000</v>
      </c>
      <c r="G17" s="355">
        <f>F17+AVERAGE(N17:O17)</f>
        <v>130000</v>
      </c>
      <c r="H17" s="1002">
        <f t="shared" si="5"/>
        <v>135000</v>
      </c>
      <c r="I17" s="289"/>
      <c r="L17" s="843">
        <v>50000</v>
      </c>
      <c r="M17" s="23">
        <v>80000</v>
      </c>
      <c r="N17" s="23">
        <v>50000</v>
      </c>
      <c r="O17" s="23">
        <v>80000</v>
      </c>
      <c r="P17" s="23">
        <v>60000</v>
      </c>
      <c r="Q17" s="844">
        <v>80000</v>
      </c>
    </row>
    <row r="18" spans="1:17" s="35" customFormat="1" ht="14.45" x14ac:dyDescent="0.3">
      <c r="A18" s="40"/>
      <c r="B18" s="50"/>
      <c r="C18" s="53" t="s">
        <v>119</v>
      </c>
      <c r="D18" s="46"/>
      <c r="E18" s="292"/>
      <c r="F18" s="355">
        <f>AVERAGE(L18:M18)</f>
        <v>105000</v>
      </c>
      <c r="G18" s="355">
        <f>F18+AVERAGE(N18:O18)</f>
        <v>116000</v>
      </c>
      <c r="H18" s="1002">
        <f t="shared" si="5"/>
        <v>116000</v>
      </c>
      <c r="I18" s="289"/>
      <c r="L18" s="843">
        <v>50000</v>
      </c>
      <c r="M18" s="23">
        <v>160000</v>
      </c>
      <c r="N18" s="23">
        <v>7000</v>
      </c>
      <c r="O18" s="23">
        <v>15000</v>
      </c>
      <c r="P18" s="23">
        <v>7000</v>
      </c>
      <c r="Q18" s="844">
        <v>15000</v>
      </c>
    </row>
    <row r="19" spans="1:17" s="68" customFormat="1" ht="14.45" x14ac:dyDescent="0.3">
      <c r="A19" s="57"/>
      <c r="B19" s="50"/>
      <c r="C19" s="53"/>
      <c r="D19" s="46"/>
      <c r="E19" s="292"/>
      <c r="F19" s="190"/>
      <c r="G19" s="190"/>
      <c r="H19" s="1002"/>
      <c r="I19" s="35"/>
      <c r="L19" s="843"/>
      <c r="M19" s="23"/>
      <c r="N19" s="479"/>
      <c r="O19" s="479"/>
      <c r="P19" s="479"/>
      <c r="Q19" s="842"/>
    </row>
    <row r="20" spans="1:17" s="58" customFormat="1" ht="14.45" x14ac:dyDescent="0.3">
      <c r="B20" s="50"/>
      <c r="C20" s="95" t="s">
        <v>83</v>
      </c>
      <c r="D20" s="22"/>
      <c r="E20" s="103"/>
      <c r="F20" s="191">
        <f>SUM(F15:F18)</f>
        <v>335000</v>
      </c>
      <c r="G20" s="191">
        <f t="shared" ref="G20" si="6">SUM(G15:G18)</f>
        <v>421000</v>
      </c>
      <c r="H20" s="1002">
        <f t="shared" si="5"/>
        <v>426000</v>
      </c>
      <c r="I20" s="35"/>
      <c r="L20" s="851">
        <f>SUM(L15:L18)</f>
        <v>240000</v>
      </c>
      <c r="M20" s="18">
        <f t="shared" ref="M20:Q20" si="7">SUM(M15:M18)</f>
        <v>430000</v>
      </c>
      <c r="N20" s="18">
        <f>SUM(N15:N18)</f>
        <v>67000</v>
      </c>
      <c r="O20" s="18">
        <f t="shared" si="7"/>
        <v>105000</v>
      </c>
      <c r="P20" s="18">
        <f t="shared" si="7"/>
        <v>77000</v>
      </c>
      <c r="Q20" s="852">
        <f t="shared" si="7"/>
        <v>105000</v>
      </c>
    </row>
    <row r="21" spans="1:17" s="68" customFormat="1" ht="14.45" x14ac:dyDescent="0.3">
      <c r="A21" s="57"/>
      <c r="B21" s="50"/>
      <c r="C21" s="52"/>
      <c r="D21" s="46"/>
      <c r="E21" s="292"/>
      <c r="F21" s="293"/>
      <c r="G21" s="283"/>
      <c r="H21" s="286"/>
      <c r="I21" s="57"/>
      <c r="J21" s="746"/>
      <c r="L21" s="843"/>
      <c r="M21" s="23"/>
      <c r="N21" s="479"/>
      <c r="O21" s="479"/>
      <c r="P21" s="479"/>
      <c r="Q21" s="842"/>
    </row>
    <row r="22" spans="1:17" s="57" customFormat="1" ht="14.45" x14ac:dyDescent="0.3">
      <c r="A22" s="57" t="s">
        <v>101</v>
      </c>
      <c r="B22" s="160" t="s">
        <v>5</v>
      </c>
      <c r="C22" s="161"/>
      <c r="D22" s="29"/>
      <c r="E22" s="285"/>
      <c r="F22" s="189" t="s">
        <v>97</v>
      </c>
      <c r="G22" s="189" t="s">
        <v>87</v>
      </c>
      <c r="H22" s="189" t="s">
        <v>187</v>
      </c>
      <c r="I22" s="595"/>
      <c r="L22" s="848" t="s">
        <v>797</v>
      </c>
      <c r="M22" s="849" t="s">
        <v>798</v>
      </c>
      <c r="N22" s="849" t="s">
        <v>799</v>
      </c>
      <c r="O22" s="849" t="s">
        <v>800</v>
      </c>
      <c r="P22" s="849" t="s">
        <v>801</v>
      </c>
      <c r="Q22" s="850" t="s">
        <v>802</v>
      </c>
    </row>
    <row r="23" spans="1:17" s="427" customFormat="1" ht="14.45" x14ac:dyDescent="0.3">
      <c r="B23" s="160"/>
      <c r="C23" s="52" t="s">
        <v>795</v>
      </c>
      <c r="D23" s="29"/>
      <c r="E23" s="461"/>
      <c r="F23" s="355">
        <f t="shared" ref="F23:F35" si="8">AVERAGE(L23:M23)</f>
        <v>0</v>
      </c>
      <c r="G23" s="355">
        <f t="shared" ref="G23:G35" si="9">F23+AVERAGE(N23:O23)</f>
        <v>37500</v>
      </c>
      <c r="H23" s="355">
        <f>F23+AVERAGE(P23:Q23)</f>
        <v>55000</v>
      </c>
      <c r="I23" s="400"/>
      <c r="L23" s="843">
        <v>0</v>
      </c>
      <c r="M23" s="23">
        <v>0</v>
      </c>
      <c r="N23" s="23">
        <v>25000</v>
      </c>
      <c r="O23" s="23">
        <v>50000</v>
      </c>
      <c r="P23" s="23">
        <v>35000</v>
      </c>
      <c r="Q23" s="844">
        <v>75000</v>
      </c>
    </row>
    <row r="24" spans="1:17" s="595" customFormat="1" ht="14.45" x14ac:dyDescent="0.3">
      <c r="B24" s="160"/>
      <c r="C24" s="52" t="s">
        <v>796</v>
      </c>
      <c r="D24" s="29"/>
      <c r="E24" s="461"/>
      <c r="F24" s="355">
        <f t="shared" si="8"/>
        <v>0</v>
      </c>
      <c r="G24" s="355">
        <f t="shared" si="9"/>
        <v>90000</v>
      </c>
      <c r="H24" s="1002">
        <f t="shared" ref="H24:H34" si="10">F24+AVERAGE(P24:Q24)</f>
        <v>100000</v>
      </c>
      <c r="I24" s="78"/>
      <c r="L24" s="843">
        <v>0</v>
      </c>
      <c r="M24" s="23">
        <v>0</v>
      </c>
      <c r="N24" s="23">
        <v>60000</v>
      </c>
      <c r="O24" s="23">
        <v>120000</v>
      </c>
      <c r="P24" s="23">
        <v>80000</v>
      </c>
      <c r="Q24" s="844">
        <v>120000</v>
      </c>
    </row>
    <row r="25" spans="1:17" s="35" customFormat="1" ht="14.45" x14ac:dyDescent="0.3">
      <c r="A25" s="40"/>
      <c r="B25" s="50"/>
      <c r="C25" s="53" t="s">
        <v>234</v>
      </c>
      <c r="D25" s="46"/>
      <c r="E25" s="292"/>
      <c r="F25" s="355">
        <f t="shared" si="8"/>
        <v>110000</v>
      </c>
      <c r="G25" s="355">
        <f t="shared" si="9"/>
        <v>110000</v>
      </c>
      <c r="H25" s="1002">
        <f t="shared" si="10"/>
        <v>185000</v>
      </c>
      <c r="I25" s="289"/>
      <c r="L25" s="843">
        <v>110000</v>
      </c>
      <c r="M25" s="23">
        <v>110000</v>
      </c>
      <c r="N25" s="23">
        <v>0</v>
      </c>
      <c r="O25" s="23">
        <v>0</v>
      </c>
      <c r="P25" s="23">
        <v>50000</v>
      </c>
      <c r="Q25" s="844">
        <v>100000</v>
      </c>
    </row>
    <row r="26" spans="1:17" s="68" customFormat="1" ht="14.45" x14ac:dyDescent="0.3">
      <c r="A26" s="57"/>
      <c r="B26" s="50"/>
      <c r="C26" s="53" t="s">
        <v>235</v>
      </c>
      <c r="D26" s="46"/>
      <c r="E26" s="292"/>
      <c r="F26" s="355">
        <f t="shared" si="8"/>
        <v>75000</v>
      </c>
      <c r="G26" s="355">
        <f t="shared" si="9"/>
        <v>270000</v>
      </c>
      <c r="H26" s="1002">
        <f t="shared" si="10"/>
        <v>145000</v>
      </c>
      <c r="I26" s="289"/>
      <c r="L26" s="843">
        <v>50000</v>
      </c>
      <c r="M26" s="23">
        <v>100000</v>
      </c>
      <c r="N26" s="23">
        <v>150000</v>
      </c>
      <c r="O26" s="23">
        <v>240000</v>
      </c>
      <c r="P26" s="23">
        <v>40000</v>
      </c>
      <c r="Q26" s="844">
        <v>100000</v>
      </c>
    </row>
    <row r="27" spans="1:17" s="35" customFormat="1" ht="14.45" x14ac:dyDescent="0.3">
      <c r="A27" s="40"/>
      <c r="B27" s="50"/>
      <c r="C27" s="53" t="s">
        <v>120</v>
      </c>
      <c r="D27" s="46"/>
      <c r="E27" s="292"/>
      <c r="F27" s="355">
        <f t="shared" si="8"/>
        <v>617000</v>
      </c>
      <c r="G27" s="355">
        <f t="shared" si="9"/>
        <v>927000</v>
      </c>
      <c r="H27" s="1002">
        <f t="shared" si="10"/>
        <v>682000</v>
      </c>
      <c r="I27" s="289"/>
      <c r="L27" s="843">
        <v>469000</v>
      </c>
      <c r="M27" s="23">
        <v>765000</v>
      </c>
      <c r="N27" s="23">
        <v>250000</v>
      </c>
      <c r="O27" s="23">
        <v>370000</v>
      </c>
      <c r="P27" s="23">
        <v>30000</v>
      </c>
      <c r="Q27" s="844">
        <v>100000</v>
      </c>
    </row>
    <row r="28" spans="1:17" s="35" customFormat="1" ht="14.45" x14ac:dyDescent="0.3">
      <c r="A28" s="40"/>
      <c r="B28" s="50"/>
      <c r="C28" s="465" t="s">
        <v>236</v>
      </c>
      <c r="D28" s="46"/>
      <c r="E28" s="292"/>
      <c r="F28" s="355">
        <f t="shared" si="8"/>
        <v>30000</v>
      </c>
      <c r="G28" s="355">
        <f t="shared" si="9"/>
        <v>95000</v>
      </c>
      <c r="H28" s="1002">
        <f t="shared" si="10"/>
        <v>95000</v>
      </c>
      <c r="I28" s="289"/>
      <c r="L28" s="843">
        <v>20000</v>
      </c>
      <c r="M28" s="23">
        <v>40000</v>
      </c>
      <c r="N28" s="23">
        <v>30000</v>
      </c>
      <c r="O28" s="23">
        <v>100000</v>
      </c>
      <c r="P28" s="23">
        <v>30000</v>
      </c>
      <c r="Q28" s="844">
        <v>100000</v>
      </c>
    </row>
    <row r="29" spans="1:17" s="35" customFormat="1" ht="14.45" x14ac:dyDescent="0.3">
      <c r="A29" s="40"/>
      <c r="B29" s="50"/>
      <c r="C29" s="53" t="s">
        <v>237</v>
      </c>
      <c r="D29" s="46"/>
      <c r="E29" s="292"/>
      <c r="F29" s="355">
        <f t="shared" si="8"/>
        <v>25000</v>
      </c>
      <c r="G29" s="355">
        <f t="shared" si="9"/>
        <v>25000</v>
      </c>
      <c r="H29" s="1002">
        <f t="shared" si="10"/>
        <v>25000</v>
      </c>
      <c r="I29" s="289"/>
      <c r="L29" s="843">
        <v>12000</v>
      </c>
      <c r="M29" s="23">
        <v>38000</v>
      </c>
      <c r="N29" s="23">
        <v>0</v>
      </c>
      <c r="O29" s="23">
        <v>0</v>
      </c>
      <c r="P29" s="23">
        <v>0</v>
      </c>
      <c r="Q29" s="844">
        <v>0</v>
      </c>
    </row>
    <row r="30" spans="1:17" s="35" customFormat="1" ht="14.45" x14ac:dyDescent="0.3">
      <c r="A30" s="40"/>
      <c r="B30" s="50"/>
      <c r="C30" s="53" t="s">
        <v>238</v>
      </c>
      <c r="D30" s="46"/>
      <c r="E30" s="292"/>
      <c r="F30" s="355">
        <f t="shared" si="8"/>
        <v>160000</v>
      </c>
      <c r="G30" s="355">
        <f t="shared" si="9"/>
        <v>320000</v>
      </c>
      <c r="H30" s="1002">
        <f t="shared" si="10"/>
        <v>320000</v>
      </c>
      <c r="I30" s="289"/>
      <c r="L30" s="843">
        <v>100000</v>
      </c>
      <c r="M30" s="23">
        <v>220000</v>
      </c>
      <c r="N30" s="23">
        <v>100000</v>
      </c>
      <c r="O30" s="23">
        <v>220000</v>
      </c>
      <c r="P30" s="23">
        <v>100000</v>
      </c>
      <c r="Q30" s="844">
        <v>220000</v>
      </c>
    </row>
    <row r="31" spans="1:17" s="398" customFormat="1" ht="14.45" x14ac:dyDescent="0.3">
      <c r="A31" s="399"/>
      <c r="B31" s="376"/>
      <c r="C31" s="378" t="s">
        <v>121</v>
      </c>
      <c r="D31" s="374"/>
      <c r="E31" s="402"/>
      <c r="F31" s="355">
        <f t="shared" si="8"/>
        <v>20000</v>
      </c>
      <c r="G31" s="355">
        <f t="shared" si="9"/>
        <v>60000</v>
      </c>
      <c r="H31" s="1002">
        <f t="shared" si="10"/>
        <v>247500</v>
      </c>
      <c r="I31" s="403"/>
      <c r="L31" s="843">
        <v>20000</v>
      </c>
      <c r="M31" s="23">
        <v>20000</v>
      </c>
      <c r="N31" s="23">
        <v>30000</v>
      </c>
      <c r="O31" s="23">
        <v>50000</v>
      </c>
      <c r="P31" s="23">
        <v>80000</v>
      </c>
      <c r="Q31" s="844">
        <v>375000</v>
      </c>
    </row>
    <row r="32" spans="1:17" s="35" customFormat="1" ht="14.45" x14ac:dyDescent="0.3">
      <c r="A32" s="40"/>
      <c r="B32" s="50"/>
      <c r="C32" s="53" t="s">
        <v>122</v>
      </c>
      <c r="D32" s="46"/>
      <c r="E32" s="292"/>
      <c r="F32" s="355">
        <f t="shared" si="8"/>
        <v>105000</v>
      </c>
      <c r="G32" s="355">
        <f t="shared" si="9"/>
        <v>120000</v>
      </c>
      <c r="H32" s="1002">
        <f t="shared" si="10"/>
        <v>127500</v>
      </c>
      <c r="I32" s="289"/>
      <c r="L32" s="843">
        <v>15000</v>
      </c>
      <c r="M32" s="23">
        <v>195000</v>
      </c>
      <c r="N32" s="23">
        <v>0</v>
      </c>
      <c r="O32" s="23">
        <v>30000</v>
      </c>
      <c r="P32" s="23">
        <v>15000</v>
      </c>
      <c r="Q32" s="844">
        <v>30000</v>
      </c>
    </row>
    <row r="33" spans="1:17" s="35" customFormat="1" ht="14.45" x14ac:dyDescent="0.3">
      <c r="A33" s="40"/>
      <c r="B33" s="50"/>
      <c r="C33" s="53" t="s">
        <v>123</v>
      </c>
      <c r="D33" s="46"/>
      <c r="E33" s="292"/>
      <c r="F33" s="355">
        <f t="shared" si="8"/>
        <v>12500</v>
      </c>
      <c r="G33" s="355">
        <f t="shared" si="9"/>
        <v>12500</v>
      </c>
      <c r="H33" s="1002">
        <f t="shared" si="10"/>
        <v>27500</v>
      </c>
      <c r="I33" s="289"/>
      <c r="L33" s="843">
        <v>10000</v>
      </c>
      <c r="M33" s="23">
        <v>15000</v>
      </c>
      <c r="N33" s="23">
        <v>0</v>
      </c>
      <c r="O33" s="23">
        <v>0</v>
      </c>
      <c r="P33" s="23">
        <v>10000</v>
      </c>
      <c r="Q33" s="844">
        <v>20000</v>
      </c>
    </row>
    <row r="34" spans="1:17" s="35" customFormat="1" ht="14.45" x14ac:dyDescent="0.3">
      <c r="A34" s="40"/>
      <c r="B34" s="50"/>
      <c r="C34" s="53" t="s">
        <v>124</v>
      </c>
      <c r="D34" s="46"/>
      <c r="E34" s="292"/>
      <c r="F34" s="355">
        <f t="shared" si="8"/>
        <v>60000</v>
      </c>
      <c r="G34" s="355">
        <f t="shared" si="9"/>
        <v>310000</v>
      </c>
      <c r="H34" s="1002">
        <f t="shared" si="10"/>
        <v>310000</v>
      </c>
      <c r="I34" s="289"/>
      <c r="L34" s="843">
        <v>40000</v>
      </c>
      <c r="M34" s="23">
        <v>80000</v>
      </c>
      <c r="N34" s="23">
        <v>125000</v>
      </c>
      <c r="O34" s="23">
        <v>375000</v>
      </c>
      <c r="P34" s="23">
        <v>125000</v>
      </c>
      <c r="Q34" s="844">
        <v>375000</v>
      </c>
    </row>
    <row r="35" spans="1:17" s="610" customFormat="1" ht="14.45" x14ac:dyDescent="0.3">
      <c r="A35" s="595"/>
      <c r="B35" s="376"/>
      <c r="C35" s="378" t="s">
        <v>517</v>
      </c>
      <c r="D35" s="482"/>
      <c r="E35" s="402"/>
      <c r="F35" s="355">
        <f t="shared" si="8"/>
        <v>0</v>
      </c>
      <c r="G35" s="355">
        <f t="shared" si="9"/>
        <v>0</v>
      </c>
      <c r="H35" s="927">
        <f t="shared" ref="H35" si="11">G35+AVERAGE(P35:Q35)</f>
        <v>0</v>
      </c>
      <c r="I35" s="480"/>
      <c r="L35" s="843">
        <v>0</v>
      </c>
      <c r="M35" s="23">
        <v>0</v>
      </c>
      <c r="N35" s="23">
        <v>0</v>
      </c>
      <c r="O35" s="23">
        <v>0</v>
      </c>
      <c r="P35" s="23">
        <v>0</v>
      </c>
      <c r="Q35" s="844">
        <v>0</v>
      </c>
    </row>
    <row r="36" spans="1:17" s="68" customFormat="1" ht="14.45" x14ac:dyDescent="0.3">
      <c r="A36" s="57"/>
      <c r="B36" s="50"/>
      <c r="C36" s="53"/>
      <c r="D36" s="46"/>
      <c r="E36" s="292"/>
      <c r="F36" s="190"/>
      <c r="G36" s="190"/>
      <c r="H36" s="190"/>
      <c r="I36" s="289"/>
      <c r="L36" s="841"/>
      <c r="M36" s="479"/>
      <c r="N36" s="479"/>
      <c r="O36" s="479"/>
      <c r="P36" s="479"/>
      <c r="Q36" s="842"/>
    </row>
    <row r="37" spans="1:17" s="58" customFormat="1" ht="14.45" x14ac:dyDescent="0.3">
      <c r="B37" s="50"/>
      <c r="C37" s="95" t="s">
        <v>83</v>
      </c>
      <c r="D37" s="22"/>
      <c r="E37" s="103"/>
      <c r="F37" s="191">
        <f>SUM(F23:F35)</f>
        <v>1214500</v>
      </c>
      <c r="G37" s="191">
        <f>SUM(G23:G35)</f>
        <v>2377000</v>
      </c>
      <c r="H37" s="191">
        <f>SUM(H23:H35)</f>
        <v>2319500</v>
      </c>
      <c r="I37" s="710"/>
      <c r="L37" s="851">
        <f>SUM(L23:L35)</f>
        <v>846000</v>
      </c>
      <c r="M37" s="18">
        <f t="shared" ref="M37:Q37" si="12">SUM(M23:M35)</f>
        <v>1583000</v>
      </c>
      <c r="N37" s="18">
        <f>SUM(N23:N35)</f>
        <v>770000</v>
      </c>
      <c r="O37" s="18">
        <f t="shared" si="12"/>
        <v>1555000</v>
      </c>
      <c r="P37" s="18">
        <f t="shared" si="12"/>
        <v>595000</v>
      </c>
      <c r="Q37" s="852">
        <f t="shared" si="12"/>
        <v>1615000</v>
      </c>
    </row>
    <row r="38" spans="1:17" s="35" customFormat="1" ht="14.45" x14ac:dyDescent="0.3">
      <c r="A38" s="40"/>
      <c r="B38" s="50"/>
      <c r="C38" s="52"/>
      <c r="D38" s="46"/>
      <c r="E38" s="292"/>
      <c r="F38" s="289"/>
      <c r="G38" s="289"/>
      <c r="H38" s="289"/>
      <c r="I38" s="289"/>
      <c r="L38" s="841"/>
      <c r="M38" s="479"/>
      <c r="N38" s="479"/>
      <c r="O38" s="479"/>
      <c r="P38" s="479"/>
      <c r="Q38" s="842"/>
    </row>
    <row r="39" spans="1:17" s="35" customFormat="1" ht="14.45" x14ac:dyDescent="0.3">
      <c r="A39" s="40"/>
      <c r="B39" s="50"/>
      <c r="C39" s="52"/>
      <c r="D39" s="46"/>
      <c r="E39" s="292"/>
      <c r="F39" s="289"/>
      <c r="G39" s="292"/>
      <c r="H39" s="293"/>
      <c r="I39" s="289"/>
      <c r="L39" s="841"/>
      <c r="M39" s="479"/>
      <c r="N39" s="479"/>
      <c r="O39" s="479"/>
      <c r="P39" s="479"/>
      <c r="Q39" s="842"/>
    </row>
    <row r="40" spans="1:17" s="57" customFormat="1" ht="14.45" x14ac:dyDescent="0.3">
      <c r="A40" s="57" t="s">
        <v>102</v>
      </c>
      <c r="B40" s="160" t="s">
        <v>125</v>
      </c>
      <c r="C40" s="161"/>
      <c r="D40" s="29"/>
      <c r="E40" s="285"/>
      <c r="F40" s="189" t="s">
        <v>97</v>
      </c>
      <c r="G40" s="189" t="s">
        <v>87</v>
      </c>
      <c r="H40" s="189" t="s">
        <v>187</v>
      </c>
      <c r="I40" s="716" t="s">
        <v>524</v>
      </c>
      <c r="L40" s="848" t="s">
        <v>797</v>
      </c>
      <c r="M40" s="849" t="s">
        <v>798</v>
      </c>
      <c r="N40" s="849" t="s">
        <v>799</v>
      </c>
      <c r="O40" s="849" t="s">
        <v>800</v>
      </c>
      <c r="P40" s="849" t="s">
        <v>801</v>
      </c>
      <c r="Q40" s="850" t="s">
        <v>802</v>
      </c>
    </row>
    <row r="41" spans="1:17" s="35" customFormat="1" ht="14.45" x14ac:dyDescent="0.3">
      <c r="A41" s="40"/>
      <c r="B41" s="50"/>
      <c r="C41" s="53" t="s">
        <v>239</v>
      </c>
      <c r="D41" s="46"/>
      <c r="E41" s="292"/>
      <c r="F41" s="355">
        <f>AVERAGE(L41:M41)</f>
        <v>75000</v>
      </c>
      <c r="G41" s="355">
        <f t="shared" ref="G41:G50" si="13">F41+AVERAGE(N41:O41)</f>
        <v>252500</v>
      </c>
      <c r="H41" s="355">
        <f>F41+AVERAGE(P41:Q41)</f>
        <v>252500</v>
      </c>
      <c r="I41" s="711" t="s">
        <v>520</v>
      </c>
      <c r="L41" s="843">
        <v>50000</v>
      </c>
      <c r="M41" s="23">
        <v>100000</v>
      </c>
      <c r="N41" s="23">
        <v>30000</v>
      </c>
      <c r="O41" s="23">
        <v>325000</v>
      </c>
      <c r="P41" s="23">
        <v>30000</v>
      </c>
      <c r="Q41" s="844">
        <v>325000</v>
      </c>
    </row>
    <row r="42" spans="1:17" s="35" customFormat="1" ht="14.45" x14ac:dyDescent="0.3">
      <c r="A42" s="40"/>
      <c r="B42" s="50"/>
      <c r="C42" s="53" t="s">
        <v>240</v>
      </c>
      <c r="D42" s="46"/>
      <c r="E42" s="292"/>
      <c r="F42" s="355">
        <f t="shared" ref="F42:F50" si="14">AVERAGE(L42:M42)</f>
        <v>237500</v>
      </c>
      <c r="G42" s="355">
        <f t="shared" si="13"/>
        <v>415000</v>
      </c>
      <c r="H42" s="1002">
        <f t="shared" ref="H42:H50" si="15">F42+AVERAGE(P42:Q42)</f>
        <v>415000</v>
      </c>
      <c r="I42" s="711" t="s">
        <v>520</v>
      </c>
      <c r="L42" s="843">
        <v>150000</v>
      </c>
      <c r="M42" s="23">
        <v>325000</v>
      </c>
      <c r="N42" s="23">
        <v>30000</v>
      </c>
      <c r="O42" s="23">
        <v>325000</v>
      </c>
      <c r="P42" s="23">
        <v>30000</v>
      </c>
      <c r="Q42" s="844">
        <v>325000</v>
      </c>
    </row>
    <row r="43" spans="1:17" s="35" customFormat="1" ht="14.45" x14ac:dyDescent="0.3">
      <c r="A43" s="40"/>
      <c r="B43" s="50"/>
      <c r="C43" s="53" t="s">
        <v>236</v>
      </c>
      <c r="D43" s="46"/>
      <c r="E43" s="292"/>
      <c r="F43" s="355">
        <f t="shared" si="14"/>
        <v>30000</v>
      </c>
      <c r="G43" s="355">
        <f t="shared" si="13"/>
        <v>120000</v>
      </c>
      <c r="H43" s="1002">
        <f t="shared" si="15"/>
        <v>120000</v>
      </c>
      <c r="I43" s="711" t="s">
        <v>520</v>
      </c>
      <c r="L43" s="843">
        <v>20000</v>
      </c>
      <c r="M43" s="23">
        <v>40000</v>
      </c>
      <c r="N43" s="23">
        <v>30000</v>
      </c>
      <c r="O43" s="23">
        <v>150000</v>
      </c>
      <c r="P43" s="23">
        <v>30000</v>
      </c>
      <c r="Q43" s="844">
        <v>150000</v>
      </c>
    </row>
    <row r="44" spans="1:17" s="35" customFormat="1" ht="14.45" x14ac:dyDescent="0.3">
      <c r="A44" s="40"/>
      <c r="B44" s="50"/>
      <c r="C44" s="53" t="s">
        <v>241</v>
      </c>
      <c r="D44" s="46"/>
      <c r="E44" s="292"/>
      <c r="F44" s="355">
        <f t="shared" si="14"/>
        <v>80000</v>
      </c>
      <c r="G44" s="355">
        <f t="shared" si="13"/>
        <v>145000</v>
      </c>
      <c r="H44" s="1002">
        <f t="shared" si="15"/>
        <v>145000</v>
      </c>
      <c r="I44" s="711" t="s">
        <v>520</v>
      </c>
      <c r="L44" s="843">
        <v>60000</v>
      </c>
      <c r="M44" s="23">
        <v>100000</v>
      </c>
      <c r="N44" s="23">
        <v>30000</v>
      </c>
      <c r="O44" s="23">
        <v>100000</v>
      </c>
      <c r="P44" s="23">
        <v>30000</v>
      </c>
      <c r="Q44" s="844">
        <v>100000</v>
      </c>
    </row>
    <row r="45" spans="1:17" s="367" customFormat="1" ht="14.45" x14ac:dyDescent="0.3">
      <c r="A45" s="371"/>
      <c r="B45" s="376"/>
      <c r="C45" s="378" t="s">
        <v>242</v>
      </c>
      <c r="D45" s="374"/>
      <c r="E45" s="375"/>
      <c r="F45" s="355">
        <f t="shared" si="14"/>
        <v>42500</v>
      </c>
      <c r="G45" s="355">
        <f t="shared" si="13"/>
        <v>62500</v>
      </c>
      <c r="H45" s="1002">
        <f t="shared" si="15"/>
        <v>62500</v>
      </c>
      <c r="I45" s="711" t="s">
        <v>520</v>
      </c>
      <c r="L45" s="843">
        <v>40000</v>
      </c>
      <c r="M45" s="23">
        <v>45000</v>
      </c>
      <c r="N45" s="23">
        <v>20000</v>
      </c>
      <c r="O45" s="23">
        <v>20000</v>
      </c>
      <c r="P45" s="23">
        <v>20000</v>
      </c>
      <c r="Q45" s="844">
        <v>20000</v>
      </c>
    </row>
    <row r="46" spans="1:17" s="425" customFormat="1" ht="14.45" x14ac:dyDescent="0.3">
      <c r="A46" s="427"/>
      <c r="B46" s="376"/>
      <c r="C46" s="378" t="s">
        <v>245</v>
      </c>
      <c r="D46" s="406"/>
      <c r="E46" s="402"/>
      <c r="F46" s="355">
        <f t="shared" si="14"/>
        <v>0</v>
      </c>
      <c r="G46" s="355">
        <f t="shared" si="13"/>
        <v>350000</v>
      </c>
      <c r="H46" s="1002">
        <f t="shared" si="15"/>
        <v>250000</v>
      </c>
      <c r="I46" s="711" t="s">
        <v>521</v>
      </c>
      <c r="L46" s="843">
        <v>0</v>
      </c>
      <c r="M46" s="23">
        <v>0</v>
      </c>
      <c r="N46" s="23">
        <v>200000</v>
      </c>
      <c r="O46" s="23">
        <v>500000</v>
      </c>
      <c r="P46" s="23">
        <v>200000</v>
      </c>
      <c r="Q46" s="844">
        <v>300000</v>
      </c>
    </row>
    <row r="47" spans="1:17" s="425" customFormat="1" ht="14.45" x14ac:dyDescent="0.3">
      <c r="A47" s="427"/>
      <c r="B47" s="376"/>
      <c r="C47" s="378" t="s">
        <v>246</v>
      </c>
      <c r="D47" s="406"/>
      <c r="E47" s="402"/>
      <c r="F47" s="355">
        <f t="shared" si="14"/>
        <v>0</v>
      </c>
      <c r="G47" s="355">
        <f t="shared" si="13"/>
        <v>350000</v>
      </c>
      <c r="H47" s="1002">
        <f t="shared" si="15"/>
        <v>250000</v>
      </c>
      <c r="I47" s="711" t="s">
        <v>521</v>
      </c>
      <c r="L47" s="843">
        <v>0</v>
      </c>
      <c r="M47" s="23">
        <v>0</v>
      </c>
      <c r="N47" s="23">
        <v>200000</v>
      </c>
      <c r="O47" s="23">
        <v>500000</v>
      </c>
      <c r="P47" s="23">
        <v>200000</v>
      </c>
      <c r="Q47" s="844">
        <v>300000</v>
      </c>
    </row>
    <row r="48" spans="1:17" s="425" customFormat="1" ht="14.45" x14ac:dyDescent="0.3">
      <c r="A48" s="427"/>
      <c r="B48" s="376"/>
      <c r="C48" s="378" t="s">
        <v>247</v>
      </c>
      <c r="D48" s="406"/>
      <c r="E48" s="402"/>
      <c r="F48" s="355">
        <f t="shared" si="14"/>
        <v>0</v>
      </c>
      <c r="G48" s="355">
        <f t="shared" si="13"/>
        <v>350000</v>
      </c>
      <c r="H48" s="1002">
        <f t="shared" si="15"/>
        <v>250000</v>
      </c>
      <c r="I48" s="711" t="s">
        <v>521</v>
      </c>
      <c r="L48" s="843">
        <v>0</v>
      </c>
      <c r="M48" s="23">
        <v>0</v>
      </c>
      <c r="N48" s="23">
        <v>200000</v>
      </c>
      <c r="O48" s="23">
        <v>500000</v>
      </c>
      <c r="P48" s="23">
        <v>200000</v>
      </c>
      <c r="Q48" s="844">
        <v>300000</v>
      </c>
    </row>
    <row r="49" spans="1:18" s="610" customFormat="1" ht="14.45" x14ac:dyDescent="0.3">
      <c r="A49" s="595"/>
      <c r="B49" s="376"/>
      <c r="C49" s="378" t="s">
        <v>518</v>
      </c>
      <c r="D49" s="482"/>
      <c r="E49" s="402"/>
      <c r="F49" s="355">
        <f t="shared" si="14"/>
        <v>0</v>
      </c>
      <c r="G49" s="355">
        <f t="shared" si="13"/>
        <v>0</v>
      </c>
      <c r="H49" s="1002">
        <f t="shared" si="15"/>
        <v>0</v>
      </c>
      <c r="I49" s="711"/>
      <c r="L49" s="843">
        <v>0</v>
      </c>
      <c r="M49" s="23">
        <v>0</v>
      </c>
      <c r="N49" s="23">
        <v>0</v>
      </c>
      <c r="O49" s="23">
        <v>0</v>
      </c>
      <c r="P49" s="23">
        <v>0</v>
      </c>
      <c r="Q49" s="844">
        <v>0</v>
      </c>
    </row>
    <row r="50" spans="1:18" s="610" customFormat="1" ht="14.45" x14ac:dyDescent="0.3">
      <c r="A50" s="595"/>
      <c r="B50" s="376"/>
      <c r="C50" s="465" t="s">
        <v>123</v>
      </c>
      <c r="F50" s="355">
        <f t="shared" si="14"/>
        <v>0</v>
      </c>
      <c r="G50" s="355">
        <f t="shared" si="13"/>
        <v>40000</v>
      </c>
      <c r="H50" s="1002">
        <f t="shared" si="15"/>
        <v>40000</v>
      </c>
      <c r="I50" s="711"/>
      <c r="L50" s="843">
        <v>0</v>
      </c>
      <c r="M50" s="23">
        <v>0</v>
      </c>
      <c r="N50" s="23">
        <v>40000</v>
      </c>
      <c r="O50" s="23">
        <v>40000</v>
      </c>
      <c r="P50" s="23">
        <v>40000</v>
      </c>
      <c r="Q50" s="844">
        <v>40000</v>
      </c>
    </row>
    <row r="51" spans="1:18" s="68" customFormat="1" ht="14.45" x14ac:dyDescent="0.3">
      <c r="A51" s="57"/>
      <c r="B51" s="36"/>
      <c r="C51" s="51"/>
      <c r="E51" s="289"/>
      <c r="F51" s="164"/>
      <c r="G51" s="190"/>
      <c r="H51" s="190"/>
      <c r="I51" s="711"/>
      <c r="L51" s="843"/>
      <c r="M51" s="23"/>
      <c r="N51" s="479"/>
      <c r="O51" s="479"/>
      <c r="P51" s="479"/>
      <c r="Q51" s="842"/>
    </row>
    <row r="52" spans="1:18" s="92" customFormat="1" ht="14.45" x14ac:dyDescent="0.3">
      <c r="B52" s="93"/>
      <c r="C52" s="168" t="s">
        <v>519</v>
      </c>
      <c r="D52" s="183"/>
      <c r="E52" s="103"/>
      <c r="F52" s="191">
        <f>SUM(F41:F50)</f>
        <v>465000</v>
      </c>
      <c r="G52" s="191">
        <f>SUM(G41:G50)</f>
        <v>2085000</v>
      </c>
      <c r="H52" s="191">
        <f>SUM(H41:H50)</f>
        <v>1785000</v>
      </c>
      <c r="I52" s="711"/>
      <c r="L52" s="851">
        <f>SUM(L41:L50)</f>
        <v>320000</v>
      </c>
      <c r="M52" s="18">
        <f t="shared" ref="M52:Q52" si="16">SUM(M41:M50)</f>
        <v>610000</v>
      </c>
      <c r="N52" s="18">
        <f>SUM(N41:N50)</f>
        <v>780000</v>
      </c>
      <c r="O52" s="18">
        <f t="shared" si="16"/>
        <v>2460000</v>
      </c>
      <c r="P52" s="18">
        <f t="shared" si="16"/>
        <v>780000</v>
      </c>
      <c r="Q52" s="852">
        <f t="shared" si="16"/>
        <v>1860000</v>
      </c>
    </row>
    <row r="53" spans="1:18" s="92" customFormat="1" thickBot="1" x14ac:dyDescent="0.35">
      <c r="B53" s="93"/>
      <c r="C53" s="712" t="s">
        <v>522</v>
      </c>
      <c r="D53" s="713"/>
      <c r="E53" s="714"/>
      <c r="F53" s="715">
        <f>AVERAGE(L53:M53)</f>
        <v>610000</v>
      </c>
      <c r="G53" s="715">
        <f>F53+AVERAGE(N53:O53)</f>
        <v>11775000</v>
      </c>
      <c r="H53" s="715">
        <f>F53+AVERAGE(P53:Q53)</f>
        <v>11775000</v>
      </c>
      <c r="I53" s="856"/>
      <c r="J53" s="856"/>
      <c r="K53" s="856"/>
      <c r="L53" s="860">
        <f>SUM(L41:L50)+(29*5000)</f>
        <v>465000</v>
      </c>
      <c r="M53" s="857">
        <f>SUM(M41:M50)+(29*5000)</f>
        <v>755000</v>
      </c>
      <c r="N53" s="858">
        <v>7750000</v>
      </c>
      <c r="O53" s="858">
        <v>14580000</v>
      </c>
      <c r="P53" s="858">
        <v>7750000</v>
      </c>
      <c r="Q53" s="859">
        <v>14580000</v>
      </c>
      <c r="R53" s="861" t="s">
        <v>804</v>
      </c>
    </row>
    <row r="54" spans="1:18" s="68" customFormat="1" thickTop="1" x14ac:dyDescent="0.3">
      <c r="A54" s="57"/>
      <c r="B54" s="36"/>
      <c r="E54" s="289"/>
      <c r="F54" s="289"/>
      <c r="G54" s="293"/>
      <c r="H54" s="293"/>
      <c r="I54" s="289"/>
      <c r="L54" s="843"/>
      <c r="M54" s="23"/>
      <c r="N54" s="479"/>
      <c r="O54" s="479"/>
      <c r="P54" s="479"/>
      <c r="Q54" s="842"/>
      <c r="R54" s="862" t="s">
        <v>805</v>
      </c>
    </row>
    <row r="55" spans="1:18" s="57" customFormat="1" ht="14.45" x14ac:dyDescent="0.3">
      <c r="A55" s="57" t="s">
        <v>103</v>
      </c>
      <c r="B55" s="160" t="s">
        <v>128</v>
      </c>
      <c r="C55" s="29"/>
      <c r="D55" s="29"/>
      <c r="E55" s="285"/>
      <c r="F55" s="189" t="s">
        <v>97</v>
      </c>
      <c r="G55" s="189" t="s">
        <v>87</v>
      </c>
      <c r="H55" s="189" t="s">
        <v>187</v>
      </c>
      <c r="I55" s="78"/>
      <c r="L55" s="848" t="s">
        <v>797</v>
      </c>
      <c r="M55" s="849" t="s">
        <v>798</v>
      </c>
      <c r="N55" s="849" t="s">
        <v>799</v>
      </c>
      <c r="O55" s="849" t="s">
        <v>800</v>
      </c>
      <c r="P55" s="849" t="s">
        <v>801</v>
      </c>
      <c r="Q55" s="850" t="s">
        <v>802</v>
      </c>
    </row>
    <row r="56" spans="1:18" s="35" customFormat="1" ht="14.45" x14ac:dyDescent="0.3">
      <c r="A56" s="40"/>
      <c r="B56" s="50"/>
      <c r="C56" s="54" t="s">
        <v>126</v>
      </c>
      <c r="D56" s="46"/>
      <c r="E56" s="292"/>
      <c r="F56" s="355">
        <f>AVERAGE(L56:M56)</f>
        <v>800000</v>
      </c>
      <c r="G56" s="355">
        <f>F56+AVERAGE(N56:O56)</f>
        <v>875000</v>
      </c>
      <c r="H56" s="355">
        <f>G56+AVERAGE(P56:Q56)</f>
        <v>950000</v>
      </c>
      <c r="I56" s="169"/>
      <c r="L56" s="843">
        <v>600000</v>
      </c>
      <c r="M56" s="23">
        <v>1000000</v>
      </c>
      <c r="N56" s="479">
        <v>50000</v>
      </c>
      <c r="O56" s="479">
        <v>100000</v>
      </c>
      <c r="P56" s="479">
        <v>50000</v>
      </c>
      <c r="Q56" s="842">
        <v>100000</v>
      </c>
    </row>
    <row r="57" spans="1:18" s="35" customFormat="1" ht="14.45" x14ac:dyDescent="0.3">
      <c r="A57" s="40"/>
      <c r="B57" s="50"/>
      <c r="C57" s="87" t="s">
        <v>127</v>
      </c>
      <c r="D57" s="46"/>
      <c r="E57" s="292"/>
      <c r="F57" s="355">
        <f>AVERAGE(L57:M57)</f>
        <v>125000</v>
      </c>
      <c r="G57" s="355">
        <f>F57+AVERAGE(N57:O57)</f>
        <v>160000</v>
      </c>
      <c r="H57" s="1002">
        <f>G57+AVERAGE(P57:Q57)</f>
        <v>195000</v>
      </c>
      <c r="I57" s="169"/>
      <c r="L57" s="843">
        <v>125000</v>
      </c>
      <c r="M57" s="23">
        <v>125000</v>
      </c>
      <c r="N57" s="479">
        <v>20000</v>
      </c>
      <c r="O57" s="479">
        <v>50000</v>
      </c>
      <c r="P57" s="479">
        <v>20000</v>
      </c>
      <c r="Q57" s="842">
        <v>50000</v>
      </c>
    </row>
    <row r="58" spans="1:18" s="68" customFormat="1" ht="14.45" x14ac:dyDescent="0.3">
      <c r="A58" s="57"/>
      <c r="B58" s="50"/>
      <c r="C58" s="87"/>
      <c r="D58" s="46"/>
      <c r="E58" s="292"/>
      <c r="F58" s="190"/>
      <c r="G58" s="190"/>
      <c r="H58" s="190"/>
      <c r="I58" s="169"/>
      <c r="L58" s="841"/>
      <c r="M58" s="479"/>
      <c r="N58" s="479"/>
      <c r="O58" s="479"/>
      <c r="P58" s="479"/>
      <c r="Q58" s="842"/>
    </row>
    <row r="59" spans="1:18" s="58" customFormat="1" ht="14.45" x14ac:dyDescent="0.3">
      <c r="B59" s="50"/>
      <c r="C59" s="94" t="s">
        <v>83</v>
      </c>
      <c r="D59" s="22"/>
      <c r="E59" s="103"/>
      <c r="F59" s="191">
        <f>SUM(F56:F57)</f>
        <v>925000</v>
      </c>
      <c r="G59" s="191">
        <f t="shared" ref="G59:H59" si="17">SUM(G56:G57)</f>
        <v>1035000</v>
      </c>
      <c r="H59" s="191">
        <f t="shared" si="17"/>
        <v>1145000</v>
      </c>
      <c r="I59" s="169"/>
      <c r="L59" s="853">
        <f>SUM(L56:L57)</f>
        <v>725000</v>
      </c>
      <c r="M59" s="854">
        <f t="shared" ref="M59:Q59" si="18">SUM(M56:M57)</f>
        <v>1125000</v>
      </c>
      <c r="N59" s="854">
        <f>SUM(N56:N57)</f>
        <v>70000</v>
      </c>
      <c r="O59" s="854">
        <f t="shared" si="18"/>
        <v>150000</v>
      </c>
      <c r="P59" s="854">
        <f>SUM(P56:P57)</f>
        <v>70000</v>
      </c>
      <c r="Q59" s="855">
        <f t="shared" si="18"/>
        <v>150000</v>
      </c>
    </row>
    <row r="60" spans="1:18" s="49" customFormat="1" thickBot="1" x14ac:dyDescent="0.35">
      <c r="A60" s="40"/>
      <c r="B60" s="50"/>
      <c r="C60" s="54"/>
      <c r="D60" s="46"/>
      <c r="E60" s="292"/>
      <c r="F60" s="266"/>
      <c r="G60" s="266"/>
      <c r="H60" s="289"/>
      <c r="I60" s="289"/>
      <c r="L60" s="845"/>
      <c r="M60" s="846"/>
      <c r="N60" s="846"/>
      <c r="O60" s="846"/>
      <c r="P60" s="846"/>
      <c r="Q60" s="847"/>
    </row>
    <row r="61" spans="1:18" ht="14.45" x14ac:dyDescent="0.3">
      <c r="E61" s="289"/>
      <c r="F61" s="289"/>
      <c r="G61" s="289"/>
      <c r="H61" s="289"/>
      <c r="I61" s="289"/>
    </row>
    <row r="62" spans="1:18" ht="14.45" x14ac:dyDescent="0.3">
      <c r="A62" s="78" t="s">
        <v>4</v>
      </c>
      <c r="B62" s="78" t="s">
        <v>104</v>
      </c>
      <c r="C62" s="480"/>
      <c r="D62" s="480"/>
      <c r="E62" s="480"/>
      <c r="F62" s="863" t="s">
        <v>84</v>
      </c>
      <c r="G62" s="863" t="s">
        <v>106</v>
      </c>
      <c r="H62" s="863" t="s">
        <v>108</v>
      </c>
      <c r="I62" s="863" t="s">
        <v>107</v>
      </c>
    </row>
    <row r="63" spans="1:18" ht="14.45" x14ac:dyDescent="0.3">
      <c r="A63" s="480"/>
      <c r="B63" s="480"/>
      <c r="C63" s="480" t="s">
        <v>228</v>
      </c>
      <c r="D63" s="480"/>
      <c r="E63" s="480"/>
      <c r="F63" s="164">
        <v>193963</v>
      </c>
      <c r="G63" s="164">
        <v>294061</v>
      </c>
      <c r="H63" s="164">
        <v>294061</v>
      </c>
      <c r="I63" s="164">
        <v>294061</v>
      </c>
    </row>
    <row r="64" spans="1:18" ht="14.45" x14ac:dyDescent="0.3">
      <c r="A64" s="480"/>
      <c r="B64" s="480"/>
      <c r="C64" s="480"/>
      <c r="D64" s="480"/>
      <c r="E64" s="480"/>
      <c r="F64" s="164"/>
      <c r="G64" s="164"/>
      <c r="H64" s="164"/>
      <c r="I64" s="164"/>
    </row>
    <row r="65" spans="1:13" s="68" customFormat="1" x14ac:dyDescent="0.25">
      <c r="A65" s="480"/>
      <c r="B65" s="480"/>
      <c r="C65" s="480"/>
      <c r="D65" s="480"/>
      <c r="E65" s="480"/>
      <c r="F65" s="164"/>
      <c r="G65" s="164"/>
      <c r="H65" s="164"/>
      <c r="I65" s="164"/>
    </row>
    <row r="66" spans="1:13" x14ac:dyDescent="0.25">
      <c r="A66" s="480"/>
      <c r="B66" s="480"/>
      <c r="C66" s="76" t="s">
        <v>83</v>
      </c>
      <c r="D66" s="76"/>
      <c r="E66" s="76"/>
      <c r="F66" s="191">
        <f>SUM(F63:F64)</f>
        <v>193963</v>
      </c>
      <c r="G66" s="191">
        <f t="shared" ref="G66:I66" si="19">SUM(G63:G64)</f>
        <v>294061</v>
      </c>
      <c r="H66" s="191">
        <f t="shared" si="19"/>
        <v>294061</v>
      </c>
      <c r="I66" s="191">
        <f t="shared" si="19"/>
        <v>294061</v>
      </c>
    </row>
    <row r="68" spans="1:13" x14ac:dyDescent="0.25">
      <c r="A68" s="57" t="s">
        <v>6</v>
      </c>
      <c r="B68" s="57" t="s">
        <v>105</v>
      </c>
      <c r="F68" s="61" t="s">
        <v>84</v>
      </c>
      <c r="G68" s="61" t="s">
        <v>106</v>
      </c>
      <c r="H68" s="61" t="s">
        <v>108</v>
      </c>
      <c r="I68" s="61" t="s">
        <v>107</v>
      </c>
    </row>
    <row r="69" spans="1:13" x14ac:dyDescent="0.25">
      <c r="C69" t="s">
        <v>444</v>
      </c>
      <c r="F69" s="62">
        <f>'CBS (Total)'!J42+'CBS (Total)'!J41+'CBS (Total)'!J30+'CBS (Total)'!J23+'CBS (Total)'!J18+'CBS (Total)'!J12+'CBS (Total)'!J5+'CBS (Total)'!J10</f>
        <v>16238411.53304998</v>
      </c>
      <c r="G69" s="408">
        <f>'CBS (Total)'!L42+'CBS (Total)'!L41+'CBS (Total)'!L30+'CBS (Total)'!L23+'CBS (Total)'!L18+'CBS (Total)'!L12+'CBS (Total)'!L5+'CBS (Total)'!L10</f>
        <v>65949902.4692031</v>
      </c>
      <c r="H69" s="408">
        <f>'CBS (Total)'!N42+'CBS (Total)'!N41+'CBS (Total)'!N30+'CBS (Total)'!N23+'CBS (Total)'!N18+'CBS (Total)'!N12+'CBS (Total)'!N5+'CBS (Total)'!N10</f>
        <v>232846941.88291216</v>
      </c>
      <c r="I69" s="408">
        <f>'CBS (Total)'!P42+'CBS (Total)'!P41+'CBS (Total)'!P30+'CBS (Total)'!P23+'CBS (Total)'!P18+'CBS (Total)'!P12+'CBS (Total)'!P5+'CBS (Total)'!P10</f>
        <v>447153054.51089358</v>
      </c>
      <c r="K69" s="408"/>
      <c r="M69" s="62"/>
    </row>
    <row r="70" spans="1:13" x14ac:dyDescent="0.25">
      <c r="C70" t="s">
        <v>147</v>
      </c>
      <c r="F70" s="42">
        <v>0.05</v>
      </c>
      <c r="G70" s="42">
        <v>0.03</v>
      </c>
      <c r="H70" s="42">
        <v>1.7999999999999999E-2</v>
      </c>
      <c r="I70" s="42">
        <v>1.0800000000000001E-2</v>
      </c>
    </row>
    <row r="71" spans="1:13" s="68" customFormat="1" x14ac:dyDescent="0.25">
      <c r="F71" s="42"/>
      <c r="G71" s="42"/>
      <c r="H71" s="42"/>
      <c r="I71" s="42"/>
      <c r="K71" s="436"/>
    </row>
    <row r="72" spans="1:13" x14ac:dyDescent="0.25">
      <c r="C72" s="16" t="s">
        <v>78</v>
      </c>
      <c r="D72" s="16"/>
      <c r="E72" s="16"/>
      <c r="F72" s="170">
        <f>F70*F69</f>
        <v>811920.57665249903</v>
      </c>
      <c r="G72" s="170">
        <f t="shared" ref="G72:I72" si="20">G70*G69</f>
        <v>1978497.0740760928</v>
      </c>
      <c r="H72" s="170">
        <f t="shared" si="20"/>
        <v>4191244.9538924186</v>
      </c>
      <c r="I72" s="170">
        <f t="shared" si="20"/>
        <v>4829252.988717651</v>
      </c>
    </row>
    <row r="76" spans="1:13" s="253" customFormat="1" x14ac:dyDescent="0.25">
      <c r="A76" s="174" t="s">
        <v>148</v>
      </c>
    </row>
    <row r="77" spans="1:13" s="253" customFormat="1" x14ac:dyDescent="0.25">
      <c r="A77" s="594" t="s">
        <v>2</v>
      </c>
      <c r="B77" s="594" t="s">
        <v>446</v>
      </c>
    </row>
    <row r="78" spans="1:13" s="253" customFormat="1" x14ac:dyDescent="0.25">
      <c r="A78" s="594" t="s">
        <v>4</v>
      </c>
      <c r="B78" s="594" t="s">
        <v>447</v>
      </c>
    </row>
    <row r="79" spans="1:13" s="287" customFormat="1" x14ac:dyDescent="0.25">
      <c r="A79" s="594"/>
      <c r="B79" s="594" t="s">
        <v>448</v>
      </c>
      <c r="L79" s="923"/>
      <c r="M79" s="923"/>
    </row>
    <row r="80" spans="1:13" s="287" customFormat="1" x14ac:dyDescent="0.25">
      <c r="A80" s="594"/>
      <c r="B80" s="594" t="s">
        <v>449</v>
      </c>
    </row>
    <row r="81" spans="1:2" s="287" customFormat="1" x14ac:dyDescent="0.25">
      <c r="A81" s="594"/>
      <c r="B81" s="594" t="s">
        <v>450</v>
      </c>
    </row>
    <row r="82" spans="1:2" s="253" customFormat="1" x14ac:dyDescent="0.25">
      <c r="A82" s="594" t="s">
        <v>6</v>
      </c>
      <c r="B82" s="594" t="s">
        <v>451</v>
      </c>
    </row>
    <row r="83" spans="1:2" s="253" customFormat="1" x14ac:dyDescent="0.25"/>
    <row r="84" spans="1:2" s="253" customFormat="1" x14ac:dyDescent="0.25">
      <c r="A84" s="174" t="s">
        <v>212</v>
      </c>
    </row>
    <row r="85" spans="1:2" s="253" customFormat="1" x14ac:dyDescent="0.25">
      <c r="A85" s="592" t="s">
        <v>100</v>
      </c>
      <c r="B85" s="593" t="s">
        <v>213</v>
      </c>
    </row>
    <row r="86" spans="1:2" s="253" customFormat="1" x14ac:dyDescent="0.25">
      <c r="A86" s="592" t="s">
        <v>101</v>
      </c>
      <c r="B86" s="593" t="s">
        <v>213</v>
      </c>
    </row>
    <row r="87" spans="1:2" s="253" customFormat="1" x14ac:dyDescent="0.25">
      <c r="A87" s="592" t="s">
        <v>102</v>
      </c>
      <c r="B87" s="593" t="s">
        <v>213</v>
      </c>
    </row>
    <row r="88" spans="1:2" s="253" customFormat="1" x14ac:dyDescent="0.25">
      <c r="A88" s="592" t="s">
        <v>103</v>
      </c>
      <c r="B88" s="593" t="s">
        <v>213</v>
      </c>
    </row>
    <row r="89" spans="1:2" s="253" customFormat="1" x14ac:dyDescent="0.25">
      <c r="A89" s="592" t="s">
        <v>4</v>
      </c>
      <c r="B89" s="610" t="s">
        <v>525</v>
      </c>
    </row>
    <row r="90" spans="1:2" s="253" customFormat="1" x14ac:dyDescent="0.25">
      <c r="A90" s="592" t="s">
        <v>6</v>
      </c>
      <c r="B90" s="610" t="s">
        <v>526</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opLeftCell="A4" zoomScale="70" zoomScaleNormal="70" zoomScalePageLayoutView="70" workbookViewId="0">
      <selection activeCell="I62" sqref="I62"/>
    </sheetView>
  </sheetViews>
  <sheetFormatPr defaultColWidth="8.85546875" defaultRowHeight="15" x14ac:dyDescent="0.25"/>
  <cols>
    <col min="1" max="1" width="3.85546875" style="745" customWidth="1"/>
    <col min="2" max="2" width="6.28515625" style="745" customWidth="1"/>
    <col min="3" max="3" width="53" style="745" customWidth="1"/>
    <col min="4" max="4" width="13.42578125" style="745" customWidth="1"/>
    <col min="5" max="5" width="15.85546875" style="745" customWidth="1"/>
    <col min="6" max="6" width="19.28515625" style="745" customWidth="1"/>
    <col min="7" max="7" width="18.140625" style="745" customWidth="1"/>
    <col min="8" max="8" width="18" style="745" customWidth="1"/>
    <col min="9" max="16384" width="8.85546875" style="745"/>
  </cols>
  <sheetData>
    <row r="1" spans="1:8" x14ac:dyDescent="0.25">
      <c r="A1" s="595" t="s">
        <v>364</v>
      </c>
    </row>
    <row r="3" spans="1:8" x14ac:dyDescent="0.25">
      <c r="A3" s="595" t="s">
        <v>109</v>
      </c>
      <c r="D3" s="745" t="s">
        <v>65</v>
      </c>
      <c r="E3" s="745">
        <v>1</v>
      </c>
      <c r="F3" s="745">
        <v>10</v>
      </c>
      <c r="G3" s="745">
        <v>50</v>
      </c>
      <c r="H3" s="745">
        <v>100</v>
      </c>
    </row>
    <row r="4" spans="1:8" x14ac:dyDescent="0.25">
      <c r="A4" s="595"/>
      <c r="B4" s="745" t="s">
        <v>9</v>
      </c>
      <c r="C4" s="745" t="s">
        <v>12</v>
      </c>
      <c r="E4" s="464">
        <f>D39</f>
        <v>900000</v>
      </c>
      <c r="F4" s="464">
        <f t="shared" ref="F4:H4" si="0">E39</f>
        <v>900000</v>
      </c>
      <c r="G4" s="464">
        <f t="shared" si="0"/>
        <v>3360000</v>
      </c>
      <c r="H4" s="464">
        <f t="shared" si="0"/>
        <v>8700000</v>
      </c>
    </row>
    <row r="5" spans="1:8" x14ac:dyDescent="0.25">
      <c r="A5" s="595"/>
      <c r="B5" s="745" t="s">
        <v>11</v>
      </c>
      <c r="C5" s="745" t="s">
        <v>149</v>
      </c>
      <c r="E5" s="464">
        <f>D47</f>
        <v>90000</v>
      </c>
      <c r="F5" s="464">
        <f t="shared" ref="F5:H5" si="1">E47</f>
        <v>90000</v>
      </c>
      <c r="G5" s="464">
        <f t="shared" si="1"/>
        <v>336000</v>
      </c>
      <c r="H5" s="464">
        <f t="shared" si="1"/>
        <v>870000</v>
      </c>
    </row>
    <row r="6" spans="1:8" x14ac:dyDescent="0.25">
      <c r="A6" s="595"/>
      <c r="B6" s="745" t="s">
        <v>13</v>
      </c>
      <c r="C6" s="745" t="s">
        <v>14</v>
      </c>
      <c r="E6" s="464">
        <f>D54</f>
        <v>0</v>
      </c>
      <c r="F6" s="464">
        <f t="shared" ref="F6:H6" si="2">E54</f>
        <v>0</v>
      </c>
      <c r="G6" s="464">
        <f t="shared" si="2"/>
        <v>0</v>
      </c>
      <c r="H6" s="464">
        <f t="shared" si="2"/>
        <v>0</v>
      </c>
    </row>
    <row r="7" spans="1:8" x14ac:dyDescent="0.25">
      <c r="A7" s="595"/>
      <c r="B7" s="745" t="s">
        <v>15</v>
      </c>
      <c r="C7" s="745" t="s">
        <v>58</v>
      </c>
      <c r="E7" s="464">
        <f>D65</f>
        <v>0</v>
      </c>
      <c r="F7" s="464">
        <f t="shared" ref="F7:H7" si="3">E65</f>
        <v>3870000</v>
      </c>
      <c r="G7" s="464">
        <f t="shared" si="3"/>
        <v>3870000</v>
      </c>
      <c r="H7" s="464">
        <f t="shared" si="3"/>
        <v>7740000</v>
      </c>
    </row>
    <row r="8" spans="1:8" x14ac:dyDescent="0.25">
      <c r="A8" s="595"/>
      <c r="B8" s="745" t="s">
        <v>16</v>
      </c>
      <c r="C8" s="745" t="s">
        <v>17</v>
      </c>
      <c r="E8" s="408"/>
      <c r="F8" s="408"/>
      <c r="G8" s="408"/>
      <c r="H8" s="408"/>
    </row>
    <row r="9" spans="1:8" x14ac:dyDescent="0.25">
      <c r="A9" s="595"/>
      <c r="D9" s="464"/>
      <c r="E9" s="464"/>
      <c r="F9" s="464"/>
      <c r="G9" s="464"/>
    </row>
    <row r="10" spans="1:8" x14ac:dyDescent="0.25">
      <c r="A10" s="595"/>
      <c r="B10" s="288"/>
      <c r="C10" s="288" t="s">
        <v>98</v>
      </c>
      <c r="D10" s="291"/>
      <c r="E10" s="291">
        <f>SUM(E4:E8)</f>
        <v>990000</v>
      </c>
      <c r="F10" s="291">
        <f t="shared" ref="F10:H10" si="4">SUM(F4:F8)</f>
        <v>4860000</v>
      </c>
      <c r="G10" s="291">
        <f t="shared" si="4"/>
        <v>7566000</v>
      </c>
      <c r="H10" s="291">
        <f t="shared" si="4"/>
        <v>17310000</v>
      </c>
    </row>
    <row r="11" spans="1:8" x14ac:dyDescent="0.25">
      <c r="A11" s="595"/>
      <c r="D11" s="464"/>
      <c r="E11" s="464"/>
      <c r="F11" s="464"/>
      <c r="G11" s="464"/>
    </row>
    <row r="14" spans="1:8" x14ac:dyDescent="0.25">
      <c r="A14" s="595"/>
      <c r="B14" s="595"/>
    </row>
    <row r="15" spans="1:8" x14ac:dyDescent="0.25">
      <c r="A15" s="595" t="s">
        <v>248</v>
      </c>
      <c r="E15" s="407" t="s">
        <v>259</v>
      </c>
      <c r="F15" s="745" t="s">
        <v>65</v>
      </c>
    </row>
    <row r="16" spans="1:8" x14ac:dyDescent="0.25">
      <c r="A16" s="595"/>
      <c r="D16" s="504">
        <v>1</v>
      </c>
      <c r="E16" s="504">
        <v>10</v>
      </c>
      <c r="F16" s="504">
        <v>50</v>
      </c>
      <c r="G16" s="504">
        <v>100</v>
      </c>
    </row>
    <row r="17" spans="1:7" x14ac:dyDescent="0.25">
      <c r="A17" s="595"/>
      <c r="B17" s="745" t="s">
        <v>257</v>
      </c>
      <c r="D17" s="80"/>
      <c r="E17" s="96"/>
      <c r="F17" s="407"/>
      <c r="G17" s="407"/>
    </row>
    <row r="18" spans="1:7" x14ac:dyDescent="0.25">
      <c r="A18" s="595"/>
      <c r="C18" s="745" t="s">
        <v>258</v>
      </c>
      <c r="D18" s="504">
        <v>350</v>
      </c>
      <c r="E18" s="504">
        <v>350</v>
      </c>
      <c r="F18" s="504">
        <v>350</v>
      </c>
      <c r="G18" s="504">
        <v>350</v>
      </c>
    </row>
    <row r="19" spans="1:7" x14ac:dyDescent="0.25">
      <c r="A19" s="595"/>
      <c r="C19" s="745" t="s">
        <v>260</v>
      </c>
      <c r="D19" s="505">
        <f>D18*D16/1000</f>
        <v>0.35</v>
      </c>
      <c r="E19" s="505">
        <f t="shared" ref="E19:G19" si="5">E18*E16/1000</f>
        <v>3.5</v>
      </c>
      <c r="F19" s="505">
        <f t="shared" si="5"/>
        <v>17.5</v>
      </c>
      <c r="G19" s="505">
        <f t="shared" si="5"/>
        <v>35</v>
      </c>
    </row>
    <row r="20" spans="1:7" x14ac:dyDescent="0.25">
      <c r="A20" s="595"/>
      <c r="C20" s="745" t="s">
        <v>261</v>
      </c>
      <c r="D20" s="505">
        <f>D19*1.2</f>
        <v>0.42</v>
      </c>
      <c r="E20" s="505">
        <f t="shared" ref="E20:G20" si="6">E19*1.2</f>
        <v>4.2</v>
      </c>
      <c r="F20" s="505">
        <f t="shared" si="6"/>
        <v>21</v>
      </c>
      <c r="G20" s="505">
        <f t="shared" si="6"/>
        <v>42</v>
      </c>
    </row>
    <row r="21" spans="1:7" x14ac:dyDescent="0.25">
      <c r="A21" s="595"/>
      <c r="D21" s="80"/>
      <c r="E21" s="96"/>
      <c r="F21" s="407"/>
      <c r="G21" s="407"/>
    </row>
    <row r="22" spans="1:7" x14ac:dyDescent="0.25">
      <c r="A22" s="595"/>
      <c r="B22" s="745" t="s">
        <v>255</v>
      </c>
      <c r="F22" s="407"/>
      <c r="G22" s="407"/>
    </row>
    <row r="23" spans="1:7" x14ac:dyDescent="0.25">
      <c r="A23" s="595"/>
      <c r="C23" s="745" t="s">
        <v>256</v>
      </c>
      <c r="D23" s="436">
        <v>5000</v>
      </c>
      <c r="E23" s="745">
        <v>5000</v>
      </c>
      <c r="F23" s="407">
        <v>5000</v>
      </c>
      <c r="G23" s="407">
        <v>5000</v>
      </c>
    </row>
    <row r="24" spans="1:7" x14ac:dyDescent="0.25">
      <c r="A24" s="595"/>
      <c r="C24" s="745" t="s">
        <v>263</v>
      </c>
      <c r="D24" s="436">
        <v>0</v>
      </c>
      <c r="E24" s="745">
        <v>0</v>
      </c>
      <c r="F24" s="745">
        <f>(F16-20)/2*600</f>
        <v>9000</v>
      </c>
      <c r="G24" s="745">
        <f>(G16-20)/2*600</f>
        <v>24000</v>
      </c>
    </row>
    <row r="25" spans="1:7" x14ac:dyDescent="0.25">
      <c r="A25" s="595"/>
      <c r="C25" s="745" t="s">
        <v>262</v>
      </c>
      <c r="D25" s="436">
        <f>(D23+D24)*1.2</f>
        <v>6000</v>
      </c>
      <c r="E25" s="436">
        <f t="shared" ref="E25:G25" si="7">(E23+E24)*1.2</f>
        <v>6000</v>
      </c>
      <c r="F25" s="436">
        <f t="shared" si="7"/>
        <v>16800</v>
      </c>
      <c r="G25" s="436">
        <f t="shared" si="7"/>
        <v>34800</v>
      </c>
    </row>
    <row r="26" spans="1:7" x14ac:dyDescent="0.25">
      <c r="A26" s="595"/>
      <c r="D26" s="436"/>
      <c r="F26" s="407"/>
      <c r="G26" s="407"/>
    </row>
    <row r="27" spans="1:7" x14ac:dyDescent="0.25">
      <c r="A27" s="595"/>
      <c r="B27" s="745" t="s">
        <v>268</v>
      </c>
      <c r="F27" s="407"/>
      <c r="G27" s="407"/>
    </row>
    <row r="28" spans="1:7" x14ac:dyDescent="0.25">
      <c r="A28" s="595"/>
      <c r="C28" s="745" t="s">
        <v>264</v>
      </c>
      <c r="D28" s="436">
        <f>600+50*2*2</f>
        <v>800</v>
      </c>
      <c r="E28" s="436">
        <f t="shared" ref="E28:G28" si="8">600+50*2*2</f>
        <v>800</v>
      </c>
      <c r="F28" s="436">
        <f t="shared" si="8"/>
        <v>800</v>
      </c>
      <c r="G28" s="436">
        <f t="shared" si="8"/>
        <v>800</v>
      </c>
    </row>
    <row r="29" spans="1:7" x14ac:dyDescent="0.25">
      <c r="A29" s="595"/>
      <c r="C29" s="745" t="s">
        <v>265</v>
      </c>
      <c r="D29" s="745">
        <f>D28*D16</f>
        <v>800</v>
      </c>
      <c r="E29" s="745">
        <f t="shared" ref="E29:G29" si="9">E28*E16</f>
        <v>8000</v>
      </c>
      <c r="F29" s="745">
        <f t="shared" si="9"/>
        <v>40000</v>
      </c>
      <c r="G29" s="745">
        <f t="shared" si="9"/>
        <v>80000</v>
      </c>
    </row>
    <row r="30" spans="1:7" x14ac:dyDescent="0.25">
      <c r="A30" s="595"/>
      <c r="D30" s="436"/>
      <c r="F30" s="407"/>
      <c r="G30" s="407"/>
    </row>
    <row r="31" spans="1:7" x14ac:dyDescent="0.25">
      <c r="A31" s="595"/>
      <c r="B31" s="745" t="s">
        <v>266</v>
      </c>
      <c r="F31" s="407"/>
      <c r="G31" s="407"/>
    </row>
    <row r="32" spans="1:7" x14ac:dyDescent="0.25">
      <c r="A32" s="595"/>
      <c r="C32" s="745" t="s">
        <v>269</v>
      </c>
      <c r="D32" s="401">
        <v>150</v>
      </c>
      <c r="E32" s="401">
        <v>150</v>
      </c>
      <c r="F32" s="507">
        <v>200</v>
      </c>
      <c r="G32" s="507">
        <v>250</v>
      </c>
    </row>
    <row r="33" spans="1:7" ht="14.45" x14ac:dyDescent="0.3">
      <c r="A33" s="595"/>
      <c r="C33" s="745" t="s">
        <v>442</v>
      </c>
      <c r="D33" s="507">
        <v>0</v>
      </c>
      <c r="E33" s="507">
        <v>0</v>
      </c>
      <c r="F33" s="507">
        <v>0</v>
      </c>
      <c r="G33" s="507">
        <v>0</v>
      </c>
    </row>
    <row r="34" spans="1:7" ht="14.45" x14ac:dyDescent="0.3">
      <c r="A34" s="595"/>
      <c r="C34" s="746"/>
      <c r="D34" s="401"/>
      <c r="E34" s="401"/>
      <c r="F34" s="507"/>
      <c r="G34" s="507"/>
    </row>
    <row r="35" spans="1:7" ht="14.45" x14ac:dyDescent="0.3">
      <c r="A35" s="595"/>
      <c r="B35" s="745" t="s">
        <v>79</v>
      </c>
      <c r="D35" s="401"/>
      <c r="E35" s="401"/>
      <c r="F35" s="507"/>
      <c r="G35" s="507"/>
    </row>
    <row r="36" spans="1:7" ht="14.45" x14ac:dyDescent="0.3">
      <c r="A36" s="595"/>
      <c r="C36" s="745" t="s">
        <v>267</v>
      </c>
      <c r="D36" s="401">
        <f>D32*D25</f>
        <v>900000</v>
      </c>
      <c r="E36" s="401">
        <f t="shared" ref="E36:G36" si="10">E32*E25</f>
        <v>900000</v>
      </c>
      <c r="F36" s="401">
        <f t="shared" si="10"/>
        <v>3360000</v>
      </c>
      <c r="G36" s="401">
        <f t="shared" si="10"/>
        <v>8700000</v>
      </c>
    </row>
    <row r="37" spans="1:7" ht="14.45" x14ac:dyDescent="0.3">
      <c r="A37" s="595"/>
      <c r="C37" s="745" t="s">
        <v>270</v>
      </c>
      <c r="D37" s="401">
        <f>D33*D29</f>
        <v>0</v>
      </c>
      <c r="E37" s="401">
        <f t="shared" ref="E37:G37" si="11">E33*E29</f>
        <v>0</v>
      </c>
      <c r="F37" s="401">
        <f t="shared" si="11"/>
        <v>0</v>
      </c>
      <c r="G37" s="401">
        <f t="shared" si="11"/>
        <v>0</v>
      </c>
    </row>
    <row r="38" spans="1:7" ht="14.45" x14ac:dyDescent="0.3">
      <c r="A38" s="595"/>
      <c r="C38" s="481"/>
      <c r="D38" s="355"/>
      <c r="E38" s="401"/>
      <c r="F38" s="507"/>
      <c r="G38" s="507"/>
    </row>
    <row r="39" spans="1:7" ht="14.45" x14ac:dyDescent="0.3">
      <c r="A39" s="595"/>
      <c r="C39" s="76" t="s">
        <v>80</v>
      </c>
      <c r="D39" s="191">
        <f>D37+D36</f>
        <v>900000</v>
      </c>
      <c r="E39" s="191">
        <f t="shared" ref="E39:G39" si="12">E37+E36</f>
        <v>900000</v>
      </c>
      <c r="F39" s="191">
        <f t="shared" si="12"/>
        <v>3360000</v>
      </c>
      <c r="G39" s="191">
        <f t="shared" si="12"/>
        <v>8700000</v>
      </c>
    </row>
    <row r="40" spans="1:7" ht="14.45" x14ac:dyDescent="0.3">
      <c r="A40" s="595"/>
      <c r="C40" s="481"/>
      <c r="D40" s="481"/>
      <c r="F40" s="407"/>
      <c r="G40" s="407"/>
    </row>
    <row r="42" spans="1:7" ht="14.45" x14ac:dyDescent="0.3">
      <c r="A42" s="595" t="s">
        <v>150</v>
      </c>
      <c r="B42" s="595"/>
      <c r="C42" s="595"/>
    </row>
    <row r="43" spans="1:7" ht="14.45" x14ac:dyDescent="0.3">
      <c r="A43" s="595"/>
      <c r="B43" s="595"/>
      <c r="C43" s="595"/>
      <c r="D43" s="80" t="s">
        <v>84</v>
      </c>
      <c r="E43" s="96" t="s">
        <v>106</v>
      </c>
      <c r="F43" s="407" t="s">
        <v>108</v>
      </c>
      <c r="G43" s="407" t="s">
        <v>107</v>
      </c>
    </row>
    <row r="44" spans="1:7" ht="14.45" x14ac:dyDescent="0.3">
      <c r="D44" s="391"/>
      <c r="E44" s="391"/>
      <c r="F44" s="391"/>
      <c r="G44" s="391"/>
    </row>
    <row r="45" spans="1:7" ht="14.45" x14ac:dyDescent="0.3">
      <c r="C45" s="745" t="s">
        <v>271</v>
      </c>
      <c r="D45" s="164">
        <f>10%*D39</f>
        <v>90000</v>
      </c>
      <c r="E45" s="164">
        <f t="shared" ref="E45:G45" si="13">10%*E39</f>
        <v>90000</v>
      </c>
      <c r="F45" s="164">
        <f t="shared" si="13"/>
        <v>336000</v>
      </c>
      <c r="G45" s="164">
        <f t="shared" si="13"/>
        <v>870000</v>
      </c>
    </row>
    <row r="46" spans="1:7" ht="14.45" x14ac:dyDescent="0.3">
      <c r="D46" s="464"/>
      <c r="E46" s="389"/>
    </row>
    <row r="47" spans="1:7" ht="14.45" x14ac:dyDescent="0.3">
      <c r="C47" s="288" t="s">
        <v>78</v>
      </c>
      <c r="D47" s="291">
        <f>SUM(D45:D46)</f>
        <v>90000</v>
      </c>
      <c r="E47" s="291">
        <f t="shared" ref="E47:G47" si="14">SUM(E45:E46)</f>
        <v>90000</v>
      </c>
      <c r="F47" s="291">
        <f t="shared" si="14"/>
        <v>336000</v>
      </c>
      <c r="G47" s="291">
        <f t="shared" si="14"/>
        <v>870000</v>
      </c>
    </row>
    <row r="48" spans="1:7" ht="14.45" x14ac:dyDescent="0.3">
      <c r="D48" s="464"/>
    </row>
    <row r="49" spans="1:7" ht="14.45" x14ac:dyDescent="0.3">
      <c r="A49" s="595" t="s">
        <v>133</v>
      </c>
      <c r="B49" s="595"/>
      <c r="D49" s="464"/>
    </row>
    <row r="50" spans="1:7" ht="14.45" x14ac:dyDescent="0.3">
      <c r="A50" s="595"/>
      <c r="B50" s="595"/>
      <c r="D50" s="80" t="s">
        <v>84</v>
      </c>
      <c r="E50" s="407" t="s">
        <v>106</v>
      </c>
      <c r="F50" s="407" t="s">
        <v>108</v>
      </c>
      <c r="G50" s="407" t="s">
        <v>107</v>
      </c>
    </row>
    <row r="51" spans="1:7" ht="14.45" x14ac:dyDescent="0.3">
      <c r="A51" s="595"/>
      <c r="B51" s="595"/>
      <c r="D51" s="464"/>
    </row>
    <row r="52" spans="1:7" ht="14.45" x14ac:dyDescent="0.3">
      <c r="A52" s="595"/>
      <c r="B52" s="595"/>
      <c r="C52" s="745" t="s">
        <v>272</v>
      </c>
      <c r="D52" s="464"/>
    </row>
    <row r="53" spans="1:7" ht="14.45" x14ac:dyDescent="0.3">
      <c r="A53" s="595"/>
      <c r="B53" s="595"/>
      <c r="D53" s="464"/>
    </row>
    <row r="54" spans="1:7" ht="14.45" x14ac:dyDescent="0.3">
      <c r="C54" s="288" t="s">
        <v>78</v>
      </c>
      <c r="D54" s="291">
        <v>0</v>
      </c>
      <c r="E54" s="291">
        <v>0</v>
      </c>
      <c r="F54" s="291">
        <v>0</v>
      </c>
      <c r="G54" s="291">
        <v>0</v>
      </c>
    </row>
    <row r="55" spans="1:7" ht="14.45" x14ac:dyDescent="0.3">
      <c r="D55" s="464"/>
    </row>
    <row r="56" spans="1:7" ht="14.45" x14ac:dyDescent="0.3">
      <c r="A56" s="595" t="s">
        <v>134</v>
      </c>
      <c r="B56" s="595"/>
      <c r="D56" s="464"/>
    </row>
    <row r="57" spans="1:7" ht="14.45" x14ac:dyDescent="0.3">
      <c r="A57" s="595"/>
      <c r="B57" s="595"/>
      <c r="C57" s="595"/>
      <c r="D57" s="80" t="s">
        <v>84</v>
      </c>
      <c r="E57" s="96" t="s">
        <v>106</v>
      </c>
      <c r="F57" s="407" t="s">
        <v>108</v>
      </c>
      <c r="G57" s="407" t="s">
        <v>107</v>
      </c>
    </row>
    <row r="58" spans="1:7" ht="14.45" x14ac:dyDescent="0.3">
      <c r="A58" s="595"/>
      <c r="B58" s="746" t="s">
        <v>311</v>
      </c>
      <c r="C58" s="595"/>
      <c r="D58" s="80"/>
      <c r="E58" s="96"/>
      <c r="F58" s="407"/>
      <c r="G58" s="407"/>
    </row>
    <row r="59" spans="1:7" ht="14.45" x14ac:dyDescent="0.3">
      <c r="A59" s="595"/>
      <c r="B59" s="746" t="s">
        <v>395</v>
      </c>
      <c r="C59" s="595"/>
      <c r="D59" s="80"/>
      <c r="E59" s="96"/>
      <c r="F59" s="407"/>
      <c r="G59" s="407"/>
    </row>
    <row r="60" spans="1:7" ht="14.45" x14ac:dyDescent="0.3">
      <c r="A60" s="595"/>
      <c r="B60" s="746" t="s">
        <v>396</v>
      </c>
      <c r="D60" s="391"/>
      <c r="E60" s="391"/>
      <c r="F60" s="391"/>
      <c r="G60" s="391"/>
    </row>
    <row r="61" spans="1:7" ht="14.45" x14ac:dyDescent="0.3">
      <c r="A61" s="595"/>
      <c r="B61" s="746" t="s">
        <v>397</v>
      </c>
      <c r="D61" s="391"/>
      <c r="E61" s="391"/>
      <c r="F61" s="391"/>
      <c r="G61" s="391"/>
    </row>
    <row r="62" spans="1:7" ht="14.45" x14ac:dyDescent="0.3">
      <c r="A62" s="595"/>
      <c r="B62" s="595"/>
      <c r="D62" s="391"/>
      <c r="E62" s="391"/>
      <c r="F62" s="391"/>
      <c r="G62" s="391"/>
    </row>
    <row r="63" spans="1:7" ht="14.45" x14ac:dyDescent="0.3">
      <c r="A63" s="595"/>
      <c r="B63" s="595"/>
      <c r="C63" s="745" t="s">
        <v>375</v>
      </c>
      <c r="D63" s="164"/>
      <c r="E63" s="164">
        <f>(2.09+5.65)/2*1000000</f>
        <v>3870000</v>
      </c>
      <c r="F63" s="513">
        <f>E63</f>
        <v>3870000</v>
      </c>
      <c r="G63" s="164">
        <f>F63*2</f>
        <v>7740000</v>
      </c>
    </row>
    <row r="64" spans="1:7" ht="14.45" x14ac:dyDescent="0.3">
      <c r="A64" s="595"/>
      <c r="B64" s="595"/>
      <c r="D64" s="464"/>
      <c r="E64" s="389"/>
    </row>
    <row r="65" spans="1:7" ht="14.45" x14ac:dyDescent="0.3">
      <c r="C65" s="288" t="s">
        <v>78</v>
      </c>
      <c r="D65" s="291">
        <f>D63</f>
        <v>0</v>
      </c>
      <c r="E65" s="291">
        <f t="shared" ref="E65:G65" si="15">E63</f>
        <v>3870000</v>
      </c>
      <c r="F65" s="291">
        <f t="shared" si="15"/>
        <v>3870000</v>
      </c>
      <c r="G65" s="291">
        <f t="shared" si="15"/>
        <v>7740000</v>
      </c>
    </row>
    <row r="68" spans="1:7" x14ac:dyDescent="0.25">
      <c r="A68" s="595" t="s">
        <v>148</v>
      </c>
    </row>
    <row r="69" spans="1:7" x14ac:dyDescent="0.25">
      <c r="B69" s="745" t="s">
        <v>9</v>
      </c>
      <c r="C69" s="745" t="s">
        <v>273</v>
      </c>
    </row>
    <row r="70" spans="1:7" x14ac:dyDescent="0.25">
      <c r="B70" s="745" t="s">
        <v>11</v>
      </c>
      <c r="C70" s="745" t="s">
        <v>452</v>
      </c>
    </row>
    <row r="71" spans="1:7" x14ac:dyDescent="0.25">
      <c r="B71" s="745" t="s">
        <v>13</v>
      </c>
      <c r="C71" s="745" t="s">
        <v>473</v>
      </c>
    </row>
    <row r="72" spans="1:7" x14ac:dyDescent="0.25">
      <c r="B72" s="745" t="s">
        <v>15</v>
      </c>
      <c r="C72" s="745" t="s">
        <v>453</v>
      </c>
    </row>
    <row r="74" spans="1:7" x14ac:dyDescent="0.25">
      <c r="A74" s="595" t="s">
        <v>212</v>
      </c>
    </row>
    <row r="75" spans="1:7" x14ac:dyDescent="0.25">
      <c r="B75" s="745" t="s">
        <v>9</v>
      </c>
      <c r="C75" s="745" t="s">
        <v>284</v>
      </c>
    </row>
    <row r="76" spans="1:7" x14ac:dyDescent="0.25">
      <c r="B76" s="745" t="s">
        <v>11</v>
      </c>
      <c r="C76" s="745" t="s">
        <v>284</v>
      </c>
    </row>
    <row r="77" spans="1:7" x14ac:dyDescent="0.25">
      <c r="B77" s="745" t="s">
        <v>13</v>
      </c>
      <c r="C77" s="745" t="s">
        <v>284</v>
      </c>
    </row>
    <row r="78" spans="1:7" x14ac:dyDescent="0.25">
      <c r="B78" s="745" t="s">
        <v>15</v>
      </c>
      <c r="C78" s="745" t="s">
        <v>284</v>
      </c>
    </row>
  </sheetData>
  <pageMargins left="0.7" right="0.7" top="0.75" bottom="0.75" header="0.3" footer="0.3"/>
  <pageSetup orientation="portrait" horizontalDpi="4294967293"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W79"/>
  <sheetViews>
    <sheetView zoomScale="70" zoomScaleNormal="70" zoomScalePageLayoutView="70" workbookViewId="0">
      <selection activeCell="C72" sqref="C72"/>
    </sheetView>
  </sheetViews>
  <sheetFormatPr defaultColWidth="8.85546875" defaultRowHeight="15" x14ac:dyDescent="0.25"/>
  <cols>
    <col min="1" max="1" width="3.85546875" style="5" customWidth="1"/>
    <col min="2" max="2" width="6.28515625" style="5" customWidth="1"/>
    <col min="3" max="3" width="53" style="5" customWidth="1"/>
    <col min="4" max="4" width="13.42578125" style="5" customWidth="1"/>
    <col min="5" max="5" width="15.85546875" style="5" customWidth="1"/>
    <col min="6" max="6" width="19.28515625" style="5" customWidth="1"/>
    <col min="7" max="7" width="18.140625" style="5" customWidth="1"/>
    <col min="8" max="8" width="18" style="5" customWidth="1"/>
    <col min="9" max="16384" width="8.85546875" style="5"/>
  </cols>
  <sheetData>
    <row r="1" spans="1:23" s="8" customFormat="1" x14ac:dyDescent="0.25">
      <c r="A1" s="427" t="s">
        <v>364</v>
      </c>
    </row>
    <row r="2" spans="1:23" s="8" customFormat="1" x14ac:dyDescent="0.25"/>
    <row r="3" spans="1:23" s="8" customFormat="1" x14ac:dyDescent="0.25">
      <c r="A3" s="9" t="s">
        <v>109</v>
      </c>
      <c r="D3" s="8" t="s">
        <v>65</v>
      </c>
      <c r="E3" s="8">
        <v>1</v>
      </c>
      <c r="F3" s="8">
        <v>10</v>
      </c>
      <c r="G3" s="8">
        <v>50</v>
      </c>
      <c r="H3" s="8">
        <v>100</v>
      </c>
    </row>
    <row r="4" spans="1:23" s="8" customFormat="1" x14ac:dyDescent="0.25">
      <c r="A4" s="9"/>
      <c r="B4" s="8" t="s">
        <v>9</v>
      </c>
      <c r="C4" s="8" t="s">
        <v>12</v>
      </c>
      <c r="E4" s="39">
        <f>D40</f>
        <v>988000</v>
      </c>
      <c r="F4" s="464">
        <f t="shared" ref="F4:H4" si="0">E40</f>
        <v>1780000</v>
      </c>
      <c r="G4" s="464">
        <f t="shared" si="0"/>
        <v>7760000</v>
      </c>
      <c r="H4" s="464">
        <f t="shared" si="0"/>
        <v>19900000</v>
      </c>
    </row>
    <row r="5" spans="1:23" s="8" customFormat="1" x14ac:dyDescent="0.25">
      <c r="A5" s="9"/>
      <c r="B5" s="8" t="s">
        <v>11</v>
      </c>
      <c r="C5" s="8" t="s">
        <v>149</v>
      </c>
      <c r="E5" s="39">
        <f>D48</f>
        <v>98800</v>
      </c>
      <c r="F5" s="404">
        <f t="shared" ref="F5:H5" si="1">E48</f>
        <v>178000</v>
      </c>
      <c r="G5" s="404">
        <f t="shared" si="1"/>
        <v>776000</v>
      </c>
      <c r="H5" s="404">
        <f t="shared" si="1"/>
        <v>1990000</v>
      </c>
    </row>
    <row r="6" spans="1:23" s="64" customFormat="1" ht="36" x14ac:dyDescent="0.55000000000000004">
      <c r="A6" s="57"/>
      <c r="B6" s="64" t="s">
        <v>13</v>
      </c>
      <c r="C6" s="64" t="s">
        <v>14</v>
      </c>
      <c r="E6" s="290">
        <f>D55</f>
        <v>0</v>
      </c>
      <c r="F6" s="404">
        <f t="shared" ref="F6:H6" si="2">E55</f>
        <v>0</v>
      </c>
      <c r="G6" s="404">
        <f t="shared" si="2"/>
        <v>0</v>
      </c>
      <c r="H6" s="404">
        <f t="shared" si="2"/>
        <v>0</v>
      </c>
      <c r="W6" s="754"/>
    </row>
    <row r="7" spans="1:23" s="64" customFormat="1" x14ac:dyDescent="0.25">
      <c r="A7" s="57"/>
      <c r="B7" s="64" t="s">
        <v>15</v>
      </c>
      <c r="C7" s="64" t="s">
        <v>58</v>
      </c>
      <c r="E7" s="39">
        <f>D66</f>
        <v>0</v>
      </c>
      <c r="F7" s="404">
        <f t="shared" ref="F7:H7" si="3">E66</f>
        <v>5650000</v>
      </c>
      <c r="G7" s="404">
        <f t="shared" si="3"/>
        <v>5650000</v>
      </c>
      <c r="H7" s="404">
        <f t="shared" si="3"/>
        <v>11300000</v>
      </c>
    </row>
    <row r="8" spans="1:23" s="64" customFormat="1" x14ac:dyDescent="0.25">
      <c r="A8" s="57"/>
      <c r="B8" s="64" t="s">
        <v>16</v>
      </c>
      <c r="C8" s="64" t="s">
        <v>17</v>
      </c>
      <c r="E8" s="62"/>
      <c r="F8" s="62"/>
      <c r="G8" s="62"/>
      <c r="H8" s="62"/>
    </row>
    <row r="9" spans="1:23" s="64" customFormat="1" x14ac:dyDescent="0.25">
      <c r="A9" s="57"/>
      <c r="D9" s="39"/>
      <c r="E9" s="39"/>
      <c r="F9" s="39"/>
      <c r="G9" s="39"/>
    </row>
    <row r="10" spans="1:23" s="64" customFormat="1" x14ac:dyDescent="0.25">
      <c r="A10" s="57"/>
      <c r="B10" s="180"/>
      <c r="C10" s="180" t="s">
        <v>98</v>
      </c>
      <c r="D10" s="181"/>
      <c r="E10" s="181">
        <f>SUM(E4:E8)</f>
        <v>1086800</v>
      </c>
      <c r="F10" s="291">
        <f t="shared" ref="F10:H10" si="4">SUM(F4:F8)</f>
        <v>7608000</v>
      </c>
      <c r="G10" s="291">
        <f t="shared" si="4"/>
        <v>14186000</v>
      </c>
      <c r="H10" s="291">
        <f t="shared" si="4"/>
        <v>33190000</v>
      </c>
    </row>
    <row r="11" spans="1:23" s="64" customFormat="1" x14ac:dyDescent="0.25">
      <c r="A11" s="57"/>
      <c r="D11" s="39"/>
      <c r="E11" s="39"/>
      <c r="F11" s="39"/>
      <c r="G11" s="39"/>
    </row>
    <row r="12" spans="1:23" s="8" customFormat="1" x14ac:dyDescent="0.25"/>
    <row r="13" spans="1:23" s="8" customFormat="1" x14ac:dyDescent="0.25"/>
    <row r="14" spans="1:23" x14ac:dyDescent="0.25">
      <c r="A14" s="7"/>
      <c r="B14" s="7"/>
    </row>
    <row r="15" spans="1:23" x14ac:dyDescent="0.25">
      <c r="A15" s="57" t="s">
        <v>248</v>
      </c>
      <c r="E15" s="407" t="s">
        <v>259</v>
      </c>
      <c r="F15" s="5" t="s">
        <v>65</v>
      </c>
    </row>
    <row r="16" spans="1:23" s="398" customFormat="1" x14ac:dyDescent="0.25">
      <c r="A16" s="399"/>
      <c r="D16" s="504">
        <v>1</v>
      </c>
      <c r="E16" s="504">
        <v>10</v>
      </c>
      <c r="F16" s="504">
        <v>50</v>
      </c>
      <c r="G16" s="504">
        <v>100</v>
      </c>
    </row>
    <row r="17" spans="1:7" s="478" customFormat="1" x14ac:dyDescent="0.25">
      <c r="A17" s="427"/>
      <c r="B17" s="478" t="s">
        <v>257</v>
      </c>
      <c r="D17" s="80"/>
      <c r="E17" s="96"/>
      <c r="F17" s="407"/>
      <c r="G17" s="407"/>
    </row>
    <row r="18" spans="1:7" s="478" customFormat="1" x14ac:dyDescent="0.25">
      <c r="A18" s="427"/>
      <c r="C18" s="986" t="s">
        <v>258</v>
      </c>
      <c r="D18" s="1200">
        <v>350</v>
      </c>
      <c r="E18" s="1200">
        <v>350</v>
      </c>
      <c r="F18" s="1200">
        <v>350</v>
      </c>
      <c r="G18" s="1200">
        <v>350</v>
      </c>
    </row>
    <row r="19" spans="1:7" s="478" customFormat="1" x14ac:dyDescent="0.25">
      <c r="A19" s="427"/>
      <c r="C19" s="986" t="s">
        <v>260</v>
      </c>
      <c r="D19" s="1201">
        <f>D18*D16/1000</f>
        <v>0.35</v>
      </c>
      <c r="E19" s="1201">
        <f t="shared" ref="E19:G19" si="5">E18*E16/1000</f>
        <v>3.5</v>
      </c>
      <c r="F19" s="1201">
        <f t="shared" si="5"/>
        <v>17.5</v>
      </c>
      <c r="G19" s="1201">
        <f t="shared" si="5"/>
        <v>35</v>
      </c>
    </row>
    <row r="20" spans="1:7" s="478" customFormat="1" x14ac:dyDescent="0.25">
      <c r="A20" s="427"/>
      <c r="C20" s="986" t="s">
        <v>261</v>
      </c>
      <c r="D20" s="1201">
        <f>D19*1.2</f>
        <v>0.42</v>
      </c>
      <c r="E20" s="1201">
        <f t="shared" ref="E20:G20" si="6">E19*1.2</f>
        <v>4.2</v>
      </c>
      <c r="F20" s="1201">
        <f t="shared" si="6"/>
        <v>21</v>
      </c>
      <c r="G20" s="1201">
        <f t="shared" si="6"/>
        <v>42</v>
      </c>
    </row>
    <row r="21" spans="1:7" s="478" customFormat="1" x14ac:dyDescent="0.25">
      <c r="A21" s="427"/>
      <c r="C21" s="986"/>
      <c r="D21" s="1202"/>
      <c r="E21" s="1203"/>
      <c r="F21" s="863"/>
      <c r="G21" s="863"/>
    </row>
    <row r="22" spans="1:7" s="478" customFormat="1" x14ac:dyDescent="0.25">
      <c r="A22" s="427"/>
      <c r="B22" s="478" t="s">
        <v>255</v>
      </c>
      <c r="C22" s="986"/>
      <c r="D22" s="986"/>
      <c r="E22" s="986"/>
      <c r="F22" s="863"/>
      <c r="G22" s="863"/>
    </row>
    <row r="23" spans="1:7" s="478" customFormat="1" x14ac:dyDescent="0.25">
      <c r="A23" s="427"/>
      <c r="C23" s="986" t="s">
        <v>256</v>
      </c>
      <c r="D23" s="888">
        <v>5000</v>
      </c>
      <c r="E23" s="986">
        <v>5000</v>
      </c>
      <c r="F23" s="863">
        <v>5000</v>
      </c>
      <c r="G23" s="863">
        <v>5000</v>
      </c>
    </row>
    <row r="24" spans="1:7" s="478" customFormat="1" x14ac:dyDescent="0.25">
      <c r="A24" s="427"/>
      <c r="C24" s="986" t="s">
        <v>263</v>
      </c>
      <c r="D24" s="888">
        <v>0</v>
      </c>
      <c r="E24" s="986">
        <v>0</v>
      </c>
      <c r="F24" s="986">
        <f>(F16-20)/2*F28</f>
        <v>9000</v>
      </c>
      <c r="G24" s="986">
        <f>(G16-20)/2*G29</f>
        <v>32000</v>
      </c>
    </row>
    <row r="25" spans="1:7" s="478" customFormat="1" x14ac:dyDescent="0.25">
      <c r="A25" s="427"/>
      <c r="C25" s="986" t="s">
        <v>262</v>
      </c>
      <c r="D25" s="888">
        <f>(D23+D24)*1.2</f>
        <v>6000</v>
      </c>
      <c r="E25" s="888">
        <f t="shared" ref="E25:G25" si="7">(E23+E24)*1.2</f>
        <v>6000</v>
      </c>
      <c r="F25" s="888">
        <f t="shared" si="7"/>
        <v>16800</v>
      </c>
      <c r="G25" s="888">
        <f t="shared" si="7"/>
        <v>44400</v>
      </c>
    </row>
    <row r="26" spans="1:7" s="478" customFormat="1" x14ac:dyDescent="0.25">
      <c r="A26" s="427"/>
      <c r="C26" s="986"/>
      <c r="D26" s="888"/>
      <c r="E26" s="986"/>
      <c r="F26" s="863"/>
      <c r="G26" s="863"/>
    </row>
    <row r="27" spans="1:7" s="478" customFormat="1" x14ac:dyDescent="0.25">
      <c r="A27" s="427"/>
      <c r="B27" s="478" t="s">
        <v>268</v>
      </c>
      <c r="C27" s="986"/>
      <c r="D27" s="986"/>
      <c r="E27" s="986"/>
      <c r="F27" s="863"/>
      <c r="G27" s="863"/>
    </row>
    <row r="28" spans="1:7" s="923" customFormat="1" x14ac:dyDescent="0.25">
      <c r="A28" s="925"/>
      <c r="C28" s="986" t="s">
        <v>859</v>
      </c>
      <c r="D28" s="986">
        <v>600</v>
      </c>
      <c r="E28" s="986">
        <v>600</v>
      </c>
      <c r="F28" s="863">
        <v>600</v>
      </c>
      <c r="G28" s="863">
        <v>600</v>
      </c>
    </row>
    <row r="29" spans="1:7" s="478" customFormat="1" ht="14.45" x14ac:dyDescent="0.3">
      <c r="A29" s="427"/>
      <c r="C29" s="986" t="s">
        <v>264</v>
      </c>
      <c r="D29" s="888">
        <f>D28+50*2*2</f>
        <v>800</v>
      </c>
      <c r="E29" s="888">
        <f>E28+50*2*2</f>
        <v>800</v>
      </c>
      <c r="F29" s="888">
        <f>F28+50*2*2</f>
        <v>800</v>
      </c>
      <c r="G29" s="888">
        <f>G28+50*2*2</f>
        <v>800</v>
      </c>
    </row>
    <row r="30" spans="1:7" s="478" customFormat="1" ht="14.45" x14ac:dyDescent="0.3">
      <c r="A30" s="427"/>
      <c r="C30" s="986" t="s">
        <v>265</v>
      </c>
      <c r="D30" s="986">
        <f>D29*D16</f>
        <v>800</v>
      </c>
      <c r="E30" s="986">
        <f t="shared" ref="E30:G30" si="8">E29*E16</f>
        <v>8000</v>
      </c>
      <c r="F30" s="986">
        <f t="shared" si="8"/>
        <v>40000</v>
      </c>
      <c r="G30" s="986">
        <f t="shared" si="8"/>
        <v>80000</v>
      </c>
    </row>
    <row r="31" spans="1:7" s="478" customFormat="1" ht="14.45" x14ac:dyDescent="0.3">
      <c r="A31" s="427"/>
      <c r="C31" s="986"/>
      <c r="D31" s="888"/>
      <c r="E31" s="986"/>
      <c r="F31" s="863"/>
      <c r="G31" s="863"/>
    </row>
    <row r="32" spans="1:7" s="478" customFormat="1" ht="14.45" x14ac:dyDescent="0.3">
      <c r="A32" s="427"/>
      <c r="B32" s="478" t="s">
        <v>266</v>
      </c>
      <c r="C32" s="986"/>
      <c r="D32" s="986"/>
      <c r="E32" s="986"/>
      <c r="F32" s="863"/>
      <c r="G32" s="863"/>
    </row>
    <row r="33" spans="1:8" s="478" customFormat="1" ht="14.45" x14ac:dyDescent="0.3">
      <c r="A33" s="427"/>
      <c r="C33" s="986" t="s">
        <v>269</v>
      </c>
      <c r="D33" s="1000">
        <v>150</v>
      </c>
      <c r="E33" s="1000">
        <v>150</v>
      </c>
      <c r="F33" s="1204">
        <v>200</v>
      </c>
      <c r="G33" s="1204">
        <v>250</v>
      </c>
    </row>
    <row r="34" spans="1:8" s="478" customFormat="1" ht="14.45" x14ac:dyDescent="0.3">
      <c r="A34" s="427"/>
      <c r="C34" s="986" t="s">
        <v>873</v>
      </c>
      <c r="D34" s="1204">
        <v>110</v>
      </c>
      <c r="E34" s="1204">
        <v>110</v>
      </c>
      <c r="F34" s="1204">
        <v>110</v>
      </c>
      <c r="G34" s="1204">
        <v>110</v>
      </c>
      <c r="H34" s="478" t="s">
        <v>700</v>
      </c>
    </row>
    <row r="35" spans="1:8" s="478" customFormat="1" ht="14.45" x14ac:dyDescent="0.3">
      <c r="A35" s="427"/>
      <c r="C35" s="896"/>
      <c r="D35" s="1000"/>
      <c r="E35" s="1000"/>
      <c r="F35" s="1204"/>
      <c r="G35" s="1204"/>
    </row>
    <row r="36" spans="1:8" s="478" customFormat="1" ht="14.45" x14ac:dyDescent="0.3">
      <c r="A36" s="427"/>
      <c r="B36" s="478" t="s">
        <v>79</v>
      </c>
      <c r="C36" s="986"/>
      <c r="D36" s="1000"/>
      <c r="E36" s="1000"/>
      <c r="F36" s="1204"/>
      <c r="G36" s="1204"/>
    </row>
    <row r="37" spans="1:8" s="478" customFormat="1" ht="14.45" x14ac:dyDescent="0.3">
      <c r="A37" s="427"/>
      <c r="C37" s="986" t="s">
        <v>267</v>
      </c>
      <c r="D37" s="1000">
        <f>D33*D25</f>
        <v>900000</v>
      </c>
      <c r="E37" s="1000">
        <f t="shared" ref="E37:G37" si="9">E33*E25</f>
        <v>900000</v>
      </c>
      <c r="F37" s="1000">
        <f t="shared" si="9"/>
        <v>3360000</v>
      </c>
      <c r="G37" s="1000">
        <f t="shared" si="9"/>
        <v>11100000</v>
      </c>
    </row>
    <row r="38" spans="1:8" s="478" customFormat="1" ht="14.45" x14ac:dyDescent="0.3">
      <c r="A38" s="427"/>
      <c r="C38" s="986" t="s">
        <v>270</v>
      </c>
      <c r="D38" s="1000">
        <f>D34*D30</f>
        <v>88000</v>
      </c>
      <c r="E38" s="1000">
        <f t="shared" ref="E38:G38" si="10">E34*E30</f>
        <v>880000</v>
      </c>
      <c r="F38" s="1000">
        <f t="shared" si="10"/>
        <v>4400000</v>
      </c>
      <c r="G38" s="1000">
        <f t="shared" si="10"/>
        <v>8800000</v>
      </c>
    </row>
    <row r="39" spans="1:8" s="478" customFormat="1" ht="14.45" x14ac:dyDescent="0.3">
      <c r="A39" s="427"/>
      <c r="C39" s="977"/>
      <c r="D39" s="1002"/>
      <c r="E39" s="1000"/>
      <c r="F39" s="1204"/>
      <c r="G39" s="1204"/>
    </row>
    <row r="40" spans="1:8" s="478" customFormat="1" ht="14.45" x14ac:dyDescent="0.3">
      <c r="A40" s="427"/>
      <c r="C40" s="897" t="s">
        <v>80</v>
      </c>
      <c r="D40" s="191">
        <f>D38+D37</f>
        <v>988000</v>
      </c>
      <c r="E40" s="191">
        <f t="shared" ref="E40:G40" si="11">E38+E37</f>
        <v>1780000</v>
      </c>
      <c r="F40" s="191">
        <f t="shared" si="11"/>
        <v>7760000</v>
      </c>
      <c r="G40" s="191">
        <f t="shared" si="11"/>
        <v>19900000</v>
      </c>
    </row>
    <row r="41" spans="1:8" s="478" customFormat="1" ht="14.45" x14ac:dyDescent="0.3">
      <c r="A41" s="427"/>
      <c r="C41" s="977"/>
      <c r="D41" s="977"/>
      <c r="E41" s="986"/>
      <c r="F41" s="863"/>
      <c r="G41" s="863"/>
    </row>
    <row r="42" spans="1:8" ht="14.45" x14ac:dyDescent="0.3">
      <c r="C42" s="986"/>
      <c r="D42" s="986"/>
      <c r="E42" s="986"/>
      <c r="F42" s="986"/>
      <c r="G42" s="986"/>
    </row>
    <row r="43" spans="1:8" ht="14.45" x14ac:dyDescent="0.3">
      <c r="A43" s="57" t="s">
        <v>150</v>
      </c>
      <c r="B43" s="57"/>
      <c r="C43" s="78"/>
      <c r="D43" s="986"/>
      <c r="E43" s="986"/>
      <c r="F43" s="986"/>
      <c r="G43" s="986"/>
    </row>
    <row r="44" spans="1:8" s="398" customFormat="1" ht="14.45" x14ac:dyDescent="0.3">
      <c r="A44" s="399"/>
      <c r="B44" s="399"/>
      <c r="C44" s="78"/>
      <c r="D44" s="1202" t="s">
        <v>84</v>
      </c>
      <c r="E44" s="1203" t="s">
        <v>106</v>
      </c>
      <c r="F44" s="863" t="s">
        <v>108</v>
      </c>
      <c r="G44" s="863" t="s">
        <v>107</v>
      </c>
    </row>
    <row r="45" spans="1:8" s="68" customFormat="1" ht="14.45" x14ac:dyDescent="0.3">
      <c r="C45" s="986"/>
      <c r="D45" s="391"/>
      <c r="E45" s="391"/>
      <c r="F45" s="391"/>
      <c r="G45" s="391"/>
    </row>
    <row r="46" spans="1:8" s="68" customFormat="1" ht="14.45" x14ac:dyDescent="0.3">
      <c r="C46" s="986" t="s">
        <v>271</v>
      </c>
      <c r="D46" s="1000">
        <f>10%*D40</f>
        <v>98800</v>
      </c>
      <c r="E46" s="1000">
        <f t="shared" ref="E46:G46" si="12">10%*E40</f>
        <v>178000</v>
      </c>
      <c r="F46" s="1000">
        <f t="shared" si="12"/>
        <v>776000</v>
      </c>
      <c r="G46" s="1000">
        <f t="shared" si="12"/>
        <v>1990000</v>
      </c>
    </row>
    <row r="47" spans="1:8" s="68" customFormat="1" ht="14.45" x14ac:dyDescent="0.3">
      <c r="D47" s="39"/>
      <c r="E47" s="43"/>
    </row>
    <row r="48" spans="1:8" s="68" customFormat="1" ht="14.45" x14ac:dyDescent="0.3">
      <c r="C48" s="16" t="s">
        <v>78</v>
      </c>
      <c r="D48" s="17">
        <f>SUM(D46:D47)</f>
        <v>98800</v>
      </c>
      <c r="E48" s="291">
        <f t="shared" ref="E48:G48" si="13">SUM(E46:E47)</f>
        <v>178000</v>
      </c>
      <c r="F48" s="291">
        <f t="shared" si="13"/>
        <v>776000</v>
      </c>
      <c r="G48" s="291">
        <f t="shared" si="13"/>
        <v>1990000</v>
      </c>
    </row>
    <row r="49" spans="1:8" ht="14.45" x14ac:dyDescent="0.3">
      <c r="D49" s="6"/>
    </row>
    <row r="50" spans="1:8" ht="14.45" x14ac:dyDescent="0.3">
      <c r="A50" s="57" t="s">
        <v>133</v>
      </c>
      <c r="B50" s="57"/>
      <c r="D50" s="6"/>
    </row>
    <row r="51" spans="1:8" s="398" customFormat="1" ht="14.45" x14ac:dyDescent="0.3">
      <c r="A51" s="399"/>
      <c r="B51" s="399"/>
      <c r="D51" s="80" t="s">
        <v>84</v>
      </c>
      <c r="E51" s="407" t="s">
        <v>106</v>
      </c>
      <c r="F51" s="407" t="s">
        <v>108</v>
      </c>
      <c r="G51" s="407" t="s">
        <v>107</v>
      </c>
    </row>
    <row r="52" spans="1:8" s="398" customFormat="1" ht="14.45" x14ac:dyDescent="0.3">
      <c r="A52" s="399"/>
      <c r="B52" s="399"/>
      <c r="D52" s="404"/>
    </row>
    <row r="53" spans="1:8" s="398" customFormat="1" ht="14.45" x14ac:dyDescent="0.3">
      <c r="A53" s="399"/>
      <c r="B53" s="399"/>
      <c r="C53" s="398" t="s">
        <v>272</v>
      </c>
      <c r="D53" s="404"/>
    </row>
    <row r="54" spans="1:8" s="398" customFormat="1" ht="14.45" x14ac:dyDescent="0.3">
      <c r="A54" s="399"/>
      <c r="B54" s="399"/>
      <c r="D54" s="404"/>
    </row>
    <row r="55" spans="1:8" s="68" customFormat="1" ht="14.45" x14ac:dyDescent="0.3">
      <c r="C55" s="288" t="s">
        <v>78</v>
      </c>
      <c r="D55" s="291">
        <v>0</v>
      </c>
      <c r="E55" s="291">
        <v>0</v>
      </c>
      <c r="F55" s="291">
        <v>0</v>
      </c>
      <c r="G55" s="291">
        <v>0</v>
      </c>
    </row>
    <row r="56" spans="1:8" s="8" customFormat="1" ht="14.45" x14ac:dyDescent="0.3">
      <c r="D56" s="14"/>
    </row>
    <row r="57" spans="1:8" s="8" customFormat="1" ht="14.45" x14ac:dyDescent="0.3">
      <c r="A57" s="57" t="s">
        <v>134</v>
      </c>
      <c r="B57" s="57"/>
      <c r="D57" s="14"/>
    </row>
    <row r="58" spans="1:8" s="398" customFormat="1" ht="14.45" x14ac:dyDescent="0.3">
      <c r="A58" s="399"/>
      <c r="B58" s="399"/>
      <c r="C58" s="399"/>
      <c r="D58" s="80" t="s">
        <v>84</v>
      </c>
      <c r="E58" s="96" t="s">
        <v>106</v>
      </c>
      <c r="F58" s="390" t="s">
        <v>108</v>
      </c>
      <c r="G58" s="390" t="s">
        <v>107</v>
      </c>
    </row>
    <row r="59" spans="1:8" s="478" customFormat="1" ht="14.45" x14ac:dyDescent="0.3">
      <c r="A59" s="427"/>
      <c r="B59" s="405" t="s">
        <v>311</v>
      </c>
      <c r="C59" s="427"/>
      <c r="D59" s="80"/>
      <c r="E59" s="96"/>
      <c r="F59" s="407"/>
      <c r="G59" s="407"/>
    </row>
    <row r="60" spans="1:8" s="478" customFormat="1" ht="14.45" x14ac:dyDescent="0.3">
      <c r="A60" s="427"/>
      <c r="B60" s="405" t="s">
        <v>395</v>
      </c>
      <c r="C60" s="427"/>
      <c r="D60" s="80"/>
      <c r="E60" s="96"/>
      <c r="F60" s="407"/>
      <c r="G60" s="407"/>
    </row>
    <row r="61" spans="1:8" s="398" customFormat="1" ht="14.45" x14ac:dyDescent="0.3">
      <c r="A61" s="399"/>
      <c r="B61" s="405" t="s">
        <v>396</v>
      </c>
      <c r="D61" s="391"/>
      <c r="E61" s="391"/>
      <c r="F61" s="391"/>
      <c r="G61" s="391"/>
    </row>
    <row r="62" spans="1:8" s="478" customFormat="1" x14ac:dyDescent="0.25">
      <c r="A62" s="427"/>
      <c r="B62" s="405" t="s">
        <v>397</v>
      </c>
      <c r="D62" s="391"/>
      <c r="E62" s="391"/>
      <c r="F62" s="391"/>
      <c r="G62" s="391"/>
    </row>
    <row r="63" spans="1:8" s="478" customFormat="1" x14ac:dyDescent="0.25">
      <c r="A63" s="427"/>
      <c r="B63" s="427"/>
      <c r="D63" s="391"/>
      <c r="E63" s="391"/>
      <c r="F63" s="391"/>
      <c r="G63" s="391"/>
    </row>
    <row r="64" spans="1:8" s="398" customFormat="1" x14ac:dyDescent="0.25">
      <c r="A64" s="399"/>
      <c r="B64" s="399"/>
      <c r="C64" s="398" t="s">
        <v>375</v>
      </c>
      <c r="D64" s="1000"/>
      <c r="E64" s="1000">
        <f>5650000</f>
        <v>5650000</v>
      </c>
      <c r="F64" s="513">
        <f>E64</f>
        <v>5650000</v>
      </c>
      <c r="G64" s="1000">
        <f>F64*2</f>
        <v>11300000</v>
      </c>
      <c r="H64" s="595" t="s">
        <v>985</v>
      </c>
    </row>
    <row r="65" spans="1:7" s="398" customFormat="1" x14ac:dyDescent="0.25">
      <c r="A65" s="399"/>
      <c r="B65" s="399"/>
      <c r="D65" s="404"/>
      <c r="E65" s="389"/>
    </row>
    <row r="66" spans="1:7" x14ac:dyDescent="0.25">
      <c r="C66" s="288" t="s">
        <v>78</v>
      </c>
      <c r="D66" s="291">
        <f>D64</f>
        <v>0</v>
      </c>
      <c r="E66" s="291">
        <f t="shared" ref="E66:G66" si="14">E64</f>
        <v>5650000</v>
      </c>
      <c r="F66" s="291">
        <f t="shared" si="14"/>
        <v>5650000</v>
      </c>
      <c r="G66" s="291">
        <f t="shared" si="14"/>
        <v>11300000</v>
      </c>
    </row>
    <row r="68" spans="1:7" s="253" customFormat="1" x14ac:dyDescent="0.25"/>
    <row r="69" spans="1:7" s="253" customFormat="1" x14ac:dyDescent="0.25">
      <c r="A69" s="595" t="s">
        <v>148</v>
      </c>
    </row>
    <row r="70" spans="1:7" s="253" customFormat="1" x14ac:dyDescent="0.25">
      <c r="B70" s="594" t="s">
        <v>9</v>
      </c>
      <c r="C70" s="253" t="s">
        <v>701</v>
      </c>
    </row>
    <row r="71" spans="1:7" s="253" customFormat="1" x14ac:dyDescent="0.25">
      <c r="B71" s="594" t="s">
        <v>11</v>
      </c>
      <c r="C71" s="596" t="s">
        <v>452</v>
      </c>
    </row>
    <row r="72" spans="1:7" s="253" customFormat="1" x14ac:dyDescent="0.25">
      <c r="B72" s="594" t="s">
        <v>13</v>
      </c>
      <c r="C72" s="598" t="s">
        <v>473</v>
      </c>
    </row>
    <row r="73" spans="1:7" x14ac:dyDescent="0.25">
      <c r="B73" s="594" t="s">
        <v>15</v>
      </c>
      <c r="C73" s="5" t="s">
        <v>453</v>
      </c>
    </row>
    <row r="75" spans="1:7" x14ac:dyDescent="0.25">
      <c r="A75" s="174" t="s">
        <v>212</v>
      </c>
      <c r="B75" s="253"/>
      <c r="C75" s="253"/>
    </row>
    <row r="76" spans="1:7" x14ac:dyDescent="0.25">
      <c r="A76" s="253"/>
      <c r="B76" s="253" t="s">
        <v>9</v>
      </c>
      <c r="C76" s="5" t="s">
        <v>284</v>
      </c>
    </row>
    <row r="77" spans="1:7" x14ac:dyDescent="0.25">
      <c r="A77" s="253"/>
      <c r="B77" s="253" t="s">
        <v>11</v>
      </c>
      <c r="C77" s="253" t="s">
        <v>284</v>
      </c>
    </row>
    <row r="78" spans="1:7" x14ac:dyDescent="0.25">
      <c r="A78" s="253"/>
      <c r="B78" s="253" t="s">
        <v>13</v>
      </c>
      <c r="C78" s="253" t="s">
        <v>717</v>
      </c>
    </row>
    <row r="79" spans="1:7" x14ac:dyDescent="0.25">
      <c r="A79" s="253"/>
      <c r="B79" s="253" t="s">
        <v>15</v>
      </c>
      <c r="C79" s="253" t="s">
        <v>284</v>
      </c>
    </row>
  </sheetData>
  <pageMargins left="0.7" right="0.7" top="0.75" bottom="0.75" header="0.3" footer="0.3"/>
  <pageSetup orientation="portrait" horizontalDpi="4294967293" verticalDpi="0"/>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S57"/>
  <sheetViews>
    <sheetView zoomScale="90" zoomScaleNormal="90" zoomScalePageLayoutView="125" workbookViewId="0">
      <selection activeCell="B16" sqref="B16"/>
    </sheetView>
  </sheetViews>
  <sheetFormatPr defaultColWidth="8.85546875" defaultRowHeight="15" x14ac:dyDescent="0.25"/>
  <cols>
    <col min="1" max="1" width="5.85546875" customWidth="1"/>
    <col min="2" max="2" width="5.7109375" customWidth="1"/>
    <col min="3" max="3" width="53.42578125" customWidth="1"/>
    <col min="4" max="4" width="11.42578125" customWidth="1"/>
    <col min="5" max="5" width="15" bestFit="1" customWidth="1"/>
    <col min="6" max="7" width="16.140625" bestFit="1" customWidth="1"/>
    <col min="8" max="8" width="17.28515625" bestFit="1" customWidth="1"/>
  </cols>
  <sheetData>
    <row r="1" spans="1:19" x14ac:dyDescent="0.25">
      <c r="A1" s="427" t="s">
        <v>365</v>
      </c>
      <c r="B1" s="64"/>
      <c r="C1" s="64"/>
      <c r="D1" s="64"/>
      <c r="E1" s="64"/>
      <c r="F1" s="64"/>
      <c r="G1" s="64"/>
      <c r="H1" s="64"/>
      <c r="I1" s="64"/>
    </row>
    <row r="2" spans="1:19" x14ac:dyDescent="0.25">
      <c r="A2" s="64"/>
      <c r="B2" s="64"/>
      <c r="C2" s="64"/>
      <c r="D2" s="64"/>
      <c r="E2" s="64"/>
      <c r="F2" s="64"/>
      <c r="G2" s="64"/>
      <c r="H2" s="64"/>
      <c r="I2" s="64"/>
    </row>
    <row r="3" spans="1:19" x14ac:dyDescent="0.25">
      <c r="A3" s="57" t="s">
        <v>109</v>
      </c>
      <c r="B3" s="64"/>
      <c r="C3" s="64"/>
      <c r="D3" s="64" t="s">
        <v>65</v>
      </c>
      <c r="E3" s="64">
        <v>1</v>
      </c>
      <c r="F3" s="64">
        <v>10</v>
      </c>
      <c r="G3" s="64">
        <v>50</v>
      </c>
      <c r="H3" s="64">
        <v>100</v>
      </c>
      <c r="I3" s="64"/>
    </row>
    <row r="4" spans="1:19" x14ac:dyDescent="0.25">
      <c r="A4" s="57"/>
      <c r="B4" s="64" t="s">
        <v>19</v>
      </c>
      <c r="C4" s="64" t="s">
        <v>20</v>
      </c>
      <c r="D4" s="64"/>
      <c r="E4" s="39">
        <f>E20</f>
        <v>182475</v>
      </c>
      <c r="F4" s="39">
        <f t="shared" ref="F4:H4" si="0">F20</f>
        <v>1642275</v>
      </c>
      <c r="G4" s="39">
        <f t="shared" si="0"/>
        <v>8211375</v>
      </c>
      <c r="H4" s="39">
        <f t="shared" si="0"/>
        <v>16422750</v>
      </c>
      <c r="I4" s="64"/>
      <c r="S4" s="478"/>
    </row>
    <row r="5" spans="1:19" x14ac:dyDescent="0.25">
      <c r="A5" s="57"/>
      <c r="B5" s="64" t="s">
        <v>21</v>
      </c>
      <c r="C5" s="64" t="s">
        <v>22</v>
      </c>
      <c r="D5" s="64"/>
      <c r="E5" s="39">
        <f>E27</f>
        <v>180000</v>
      </c>
      <c r="F5" s="39">
        <f t="shared" ref="F5:H5" si="1">F27</f>
        <v>1620000</v>
      </c>
      <c r="G5" s="39">
        <f t="shared" si="1"/>
        <v>8100000</v>
      </c>
      <c r="H5" s="39">
        <f t="shared" si="1"/>
        <v>16200000</v>
      </c>
      <c r="I5" s="64"/>
      <c r="S5" s="478"/>
    </row>
    <row r="6" spans="1:19" s="478" customFormat="1" x14ac:dyDescent="0.25">
      <c r="A6" s="427"/>
      <c r="B6" s="478" t="s">
        <v>23</v>
      </c>
      <c r="C6" s="478" t="s">
        <v>362</v>
      </c>
      <c r="E6" s="464">
        <f>E32</f>
        <v>60000</v>
      </c>
      <c r="F6" s="464">
        <f t="shared" ref="F6:H6" si="2">F32</f>
        <v>540000</v>
      </c>
      <c r="G6" s="464">
        <f t="shared" si="2"/>
        <v>2700000</v>
      </c>
      <c r="H6" s="464">
        <f t="shared" si="2"/>
        <v>5400000</v>
      </c>
    </row>
    <row r="7" spans="1:19" x14ac:dyDescent="0.25">
      <c r="A7" s="57"/>
      <c r="B7" s="64" t="s">
        <v>23</v>
      </c>
      <c r="C7" s="425" t="s">
        <v>25</v>
      </c>
      <c r="D7" s="64"/>
      <c r="E7" s="290">
        <f>E44</f>
        <v>102300</v>
      </c>
      <c r="F7" s="464">
        <f t="shared" ref="F7:H7" si="3">F44</f>
        <v>920700</v>
      </c>
      <c r="G7" s="464">
        <f t="shared" si="3"/>
        <v>4603500</v>
      </c>
      <c r="H7" s="464">
        <f t="shared" si="3"/>
        <v>9207000</v>
      </c>
      <c r="I7" s="64"/>
      <c r="S7" s="478"/>
    </row>
    <row r="8" spans="1:19" s="478" customFormat="1" x14ac:dyDescent="0.25">
      <c r="A8" s="427"/>
      <c r="B8" s="478" t="s">
        <v>24</v>
      </c>
      <c r="C8" s="478" t="s">
        <v>17</v>
      </c>
      <c r="E8" s="464"/>
      <c r="F8" s="464"/>
      <c r="G8" s="464"/>
      <c r="H8" s="464"/>
    </row>
    <row r="9" spans="1:19" x14ac:dyDescent="0.25">
      <c r="A9" s="57"/>
      <c r="B9" s="64"/>
      <c r="C9" s="64"/>
      <c r="D9" s="39"/>
      <c r="E9" s="39"/>
      <c r="F9" s="39"/>
      <c r="G9" s="39"/>
      <c r="H9" s="64"/>
      <c r="I9" s="64"/>
      <c r="S9" s="478"/>
    </row>
    <row r="10" spans="1:19" x14ac:dyDescent="0.25">
      <c r="A10" s="57"/>
      <c r="B10" s="16" t="s">
        <v>80</v>
      </c>
      <c r="C10" s="16"/>
      <c r="D10" s="17"/>
      <c r="E10" s="291">
        <f>SUM(E4:E7)</f>
        <v>524775</v>
      </c>
      <c r="F10" s="291">
        <f>SUM(F4:F7)</f>
        <v>4722975</v>
      </c>
      <c r="G10" s="291">
        <f>SUM(G4:G7)</f>
        <v>23614875</v>
      </c>
      <c r="H10" s="291">
        <f>SUM(H4:H7)</f>
        <v>47229750</v>
      </c>
      <c r="I10" s="64"/>
      <c r="S10" s="478"/>
    </row>
    <row r="11" spans="1:19" x14ac:dyDescent="0.25">
      <c r="A11" s="57"/>
      <c r="B11" s="64"/>
      <c r="C11" s="64"/>
      <c r="D11" s="39"/>
      <c r="E11" s="39"/>
      <c r="F11" s="39"/>
      <c r="G11" s="39"/>
      <c r="H11" s="64"/>
      <c r="I11" s="64"/>
    </row>
    <row r="12" spans="1:19" s="425" customFormat="1" x14ac:dyDescent="0.25">
      <c r="A12" s="427"/>
      <c r="D12" s="437"/>
      <c r="E12" s="437"/>
      <c r="F12" s="437"/>
      <c r="G12" s="437"/>
    </row>
    <row r="13" spans="1:19" s="425" customFormat="1" x14ac:dyDescent="0.25">
      <c r="A13" s="427"/>
      <c r="D13" s="437"/>
      <c r="E13" s="437"/>
      <c r="F13" s="80" t="s">
        <v>259</v>
      </c>
      <c r="G13" s="437" t="s">
        <v>65</v>
      </c>
    </row>
    <row r="14" spans="1:19" x14ac:dyDescent="0.25">
      <c r="A14" s="57" t="s">
        <v>135</v>
      </c>
      <c r="E14" s="504">
        <v>1</v>
      </c>
      <c r="F14" s="504">
        <v>10</v>
      </c>
      <c r="G14" s="504">
        <v>50</v>
      </c>
      <c r="H14" s="504">
        <v>100</v>
      </c>
    </row>
    <row r="15" spans="1:19" s="478" customFormat="1" x14ac:dyDescent="0.25">
      <c r="A15" s="427"/>
      <c r="E15" s="80"/>
      <c r="F15" s="96"/>
      <c r="G15" s="407"/>
      <c r="H15" s="407"/>
    </row>
    <row r="16" spans="1:19" s="478" customFormat="1" x14ac:dyDescent="0.25">
      <c r="A16" s="427"/>
      <c r="B16" s="478" t="s">
        <v>274</v>
      </c>
      <c r="E16" s="80">
        <v>27000</v>
      </c>
      <c r="F16" s="96">
        <f>0.9*E16*$F$14</f>
        <v>243000</v>
      </c>
      <c r="G16" s="96">
        <f>F16*5</f>
        <v>1215000</v>
      </c>
      <c r="H16" s="96">
        <f>G16*2</f>
        <v>2430000</v>
      </c>
    </row>
    <row r="17" spans="1:9" s="478" customFormat="1" x14ac:dyDescent="0.25">
      <c r="A17" s="427"/>
      <c r="B17" s="478" t="s">
        <v>276</v>
      </c>
      <c r="E17" s="80">
        <v>43875</v>
      </c>
      <c r="F17" s="96">
        <f t="shared" ref="F17:F18" si="4">0.9*E17*$F$14</f>
        <v>394875</v>
      </c>
      <c r="G17" s="96">
        <f t="shared" ref="G17:G18" si="5">F17*5</f>
        <v>1974375</v>
      </c>
      <c r="H17" s="96">
        <f t="shared" ref="H17:H18" si="6">G17*2</f>
        <v>3948750</v>
      </c>
    </row>
    <row r="18" spans="1:9" s="478" customFormat="1" x14ac:dyDescent="0.25">
      <c r="A18" s="427"/>
      <c r="B18" s="478" t="s">
        <v>277</v>
      </c>
      <c r="E18" s="80">
        <v>111600</v>
      </c>
      <c r="F18" s="96">
        <f t="shared" si="4"/>
        <v>1004400</v>
      </c>
      <c r="G18" s="96">
        <f t="shared" si="5"/>
        <v>5022000</v>
      </c>
      <c r="H18" s="96">
        <f t="shared" si="6"/>
        <v>10044000</v>
      </c>
    </row>
    <row r="20" spans="1:9" s="68" customFormat="1" x14ac:dyDescent="0.25">
      <c r="B20" s="16" t="s">
        <v>80</v>
      </c>
      <c r="C20" s="16"/>
      <c r="D20" s="16"/>
      <c r="E20" s="17">
        <f>SUM(E16:E18)</f>
        <v>182475</v>
      </c>
      <c r="F20" s="291">
        <f>SUM(F16:F18)</f>
        <v>1642275</v>
      </c>
      <c r="G20" s="291">
        <f>SUM(G16:G18)</f>
        <v>8211375</v>
      </c>
      <c r="H20" s="291">
        <f>SUM(H16:H18)</f>
        <v>16422750</v>
      </c>
    </row>
    <row r="21" spans="1:9" s="425" customFormat="1" x14ac:dyDescent="0.25">
      <c r="B21" s="426"/>
      <c r="C21" s="426"/>
      <c r="D21" s="426"/>
      <c r="E21" s="434"/>
      <c r="F21" s="434"/>
      <c r="G21" s="434"/>
      <c r="H21" s="434"/>
    </row>
    <row r="22" spans="1:9" x14ac:dyDescent="0.25">
      <c r="F22" s="407" t="s">
        <v>259</v>
      </c>
      <c r="G22" t="s">
        <v>65</v>
      </c>
    </row>
    <row r="23" spans="1:9" x14ac:dyDescent="0.25">
      <c r="A23" s="57" t="s">
        <v>136</v>
      </c>
      <c r="E23" s="504">
        <v>1</v>
      </c>
      <c r="F23" s="504">
        <v>10</v>
      </c>
      <c r="G23" s="504">
        <v>50</v>
      </c>
      <c r="H23" s="504">
        <v>100</v>
      </c>
    </row>
    <row r="24" spans="1:9" s="478" customFormat="1" x14ac:dyDescent="0.25">
      <c r="A24" s="427"/>
      <c r="E24" s="80"/>
      <c r="F24" s="96"/>
      <c r="G24" s="407"/>
      <c r="H24" s="407"/>
    </row>
    <row r="25" spans="1:9" s="478" customFormat="1" ht="14.45" x14ac:dyDescent="0.3">
      <c r="A25" s="427"/>
      <c r="B25" s="478" t="s">
        <v>282</v>
      </c>
      <c r="E25" s="80">
        <v>180000</v>
      </c>
      <c r="F25" s="96">
        <f>0.9*E25*$F$14</f>
        <v>1620000</v>
      </c>
      <c r="G25" s="96">
        <f>F25*5</f>
        <v>8100000</v>
      </c>
      <c r="H25" s="96">
        <f>G25*2</f>
        <v>16200000</v>
      </c>
    </row>
    <row r="26" spans="1:9" s="68" customFormat="1" ht="14.45" x14ac:dyDescent="0.3">
      <c r="E26" s="39"/>
      <c r="F26" s="39"/>
      <c r="G26" s="39"/>
      <c r="H26" s="39"/>
    </row>
    <row r="27" spans="1:9" s="68" customFormat="1" ht="14.45" x14ac:dyDescent="0.3">
      <c r="B27" s="16" t="s">
        <v>80</v>
      </c>
      <c r="C27" s="16"/>
      <c r="D27" s="16"/>
      <c r="E27" s="17">
        <f>SUM(E24:E25)</f>
        <v>180000</v>
      </c>
      <c r="F27" s="291">
        <f t="shared" ref="F27:H27" si="7">SUM(F24:F25)</f>
        <v>1620000</v>
      </c>
      <c r="G27" s="291">
        <f t="shared" si="7"/>
        <v>8100000</v>
      </c>
      <c r="H27" s="291">
        <f t="shared" si="7"/>
        <v>16200000</v>
      </c>
      <c r="I27" s="434"/>
    </row>
    <row r="28" spans="1:9" s="478" customFormat="1" ht="14.45" x14ac:dyDescent="0.3">
      <c r="B28" s="479"/>
      <c r="C28" s="479"/>
      <c r="D28" s="479"/>
      <c r="E28" s="434"/>
      <c r="F28" s="434"/>
      <c r="G28" s="434"/>
      <c r="H28" s="434"/>
      <c r="I28" s="434"/>
    </row>
    <row r="29" spans="1:9" s="478" customFormat="1" ht="14.45" x14ac:dyDescent="0.3">
      <c r="F29" s="407" t="s">
        <v>259</v>
      </c>
      <c r="G29" s="478" t="s">
        <v>65</v>
      </c>
      <c r="I29" s="434"/>
    </row>
    <row r="30" spans="1:9" s="478" customFormat="1" ht="14.45" x14ac:dyDescent="0.3">
      <c r="A30" s="427" t="s">
        <v>455</v>
      </c>
      <c r="E30" s="504">
        <v>1</v>
      </c>
      <c r="F30" s="504">
        <v>10</v>
      </c>
      <c r="G30" s="504">
        <v>50</v>
      </c>
      <c r="H30" s="504">
        <v>100</v>
      </c>
      <c r="I30" s="434"/>
    </row>
    <row r="31" spans="1:9" s="478" customFormat="1" ht="14.45" x14ac:dyDescent="0.3">
      <c r="A31" s="427"/>
      <c r="E31" s="80"/>
      <c r="F31" s="96"/>
      <c r="G31" s="407"/>
      <c r="H31" s="407"/>
      <c r="I31" s="434"/>
    </row>
    <row r="32" spans="1:9" s="478" customFormat="1" ht="14.45" x14ac:dyDescent="0.3">
      <c r="A32" s="427"/>
      <c r="B32" s="478" t="s">
        <v>275</v>
      </c>
      <c r="E32" s="80">
        <v>60000</v>
      </c>
      <c r="F32" s="96">
        <f>0.9*E32*$F$14</f>
        <v>540000</v>
      </c>
      <c r="G32" s="96">
        <f>F32*5</f>
        <v>2700000</v>
      </c>
      <c r="H32" s="96">
        <f>G32*2</f>
        <v>5400000</v>
      </c>
    </row>
    <row r="33" spans="1:9" s="478" customFormat="1" ht="14.45" x14ac:dyDescent="0.3">
      <c r="E33" s="464"/>
      <c r="F33" s="464"/>
      <c r="G33" s="464"/>
      <c r="H33" s="464"/>
      <c r="I33" s="434"/>
    </row>
    <row r="34" spans="1:9" s="478" customFormat="1" ht="14.45" x14ac:dyDescent="0.3">
      <c r="B34" s="288" t="s">
        <v>80</v>
      </c>
      <c r="C34" s="288"/>
      <c r="D34" s="288"/>
      <c r="E34" s="291">
        <f>SUM(E31:E32)</f>
        <v>60000</v>
      </c>
      <c r="F34" s="291">
        <f>SUM(F31:F32)</f>
        <v>540000</v>
      </c>
      <c r="G34" s="291">
        <f>SUM(G31:G32)</f>
        <v>2700000</v>
      </c>
      <c r="H34" s="291">
        <f>SUM(H31:H32)</f>
        <v>5400000</v>
      </c>
      <c r="I34" s="434"/>
    </row>
    <row r="35" spans="1:9" s="478" customFormat="1" ht="14.45" x14ac:dyDescent="0.3">
      <c r="B35" s="479"/>
      <c r="C35" s="479"/>
      <c r="D35" s="479"/>
      <c r="E35" s="434"/>
      <c r="F35" s="434"/>
      <c r="G35" s="434"/>
      <c r="H35" s="434"/>
      <c r="I35" s="434"/>
    </row>
    <row r="36" spans="1:9" ht="14.45" x14ac:dyDescent="0.3">
      <c r="F36" s="407" t="s">
        <v>259</v>
      </c>
      <c r="G36" t="s">
        <v>65</v>
      </c>
    </row>
    <row r="37" spans="1:9" ht="14.45" x14ac:dyDescent="0.3">
      <c r="A37" s="57" t="s">
        <v>454</v>
      </c>
      <c r="E37" s="504">
        <v>1</v>
      </c>
      <c r="F37" s="504">
        <v>10</v>
      </c>
      <c r="G37" s="407">
        <v>50</v>
      </c>
      <c r="H37" s="407">
        <v>100</v>
      </c>
    </row>
    <row r="38" spans="1:9" s="478" customFormat="1" ht="14.45" x14ac:dyDescent="0.3">
      <c r="A38" s="427"/>
      <c r="E38" s="80"/>
      <c r="F38" s="96"/>
      <c r="G38" s="407"/>
      <c r="H38" s="407"/>
    </row>
    <row r="39" spans="1:9" s="478" customFormat="1" ht="14.45" x14ac:dyDescent="0.3">
      <c r="A39" s="427"/>
      <c r="B39" s="478" t="s">
        <v>278</v>
      </c>
      <c r="E39" s="80">
        <v>14100</v>
      </c>
      <c r="F39" s="96">
        <f>0.9*E39*$F$14</f>
        <v>126900</v>
      </c>
      <c r="G39" s="96">
        <f>F39*5</f>
        <v>634500</v>
      </c>
      <c r="H39" s="96">
        <f>G39*2</f>
        <v>1269000</v>
      </c>
    </row>
    <row r="40" spans="1:9" s="478" customFormat="1" ht="14.45" x14ac:dyDescent="0.3">
      <c r="A40" s="427"/>
      <c r="B40" s="478" t="s">
        <v>279</v>
      </c>
      <c r="E40" s="80">
        <v>14400</v>
      </c>
      <c r="F40" s="96">
        <f>0.9*E40*$F$14</f>
        <v>129600</v>
      </c>
      <c r="G40" s="96">
        <f>F40*5</f>
        <v>648000</v>
      </c>
      <c r="H40" s="96">
        <f>G40*2</f>
        <v>1296000</v>
      </c>
    </row>
    <row r="41" spans="1:9" s="478" customFormat="1" ht="14.45" x14ac:dyDescent="0.3">
      <c r="A41" s="427"/>
      <c r="B41" s="478" t="s">
        <v>280</v>
      </c>
      <c r="E41" s="80">
        <v>27000</v>
      </c>
      <c r="F41" s="96">
        <f>0.9*E41*$F$14</f>
        <v>243000</v>
      </c>
      <c r="G41" s="96">
        <f>F41*5</f>
        <v>1215000</v>
      </c>
      <c r="H41" s="96">
        <f>G41*2</f>
        <v>2430000</v>
      </c>
    </row>
    <row r="42" spans="1:9" s="478" customFormat="1" ht="14.45" x14ac:dyDescent="0.3">
      <c r="A42" s="427"/>
      <c r="B42" s="478" t="s">
        <v>281</v>
      </c>
      <c r="E42" s="80">
        <v>46800</v>
      </c>
      <c r="F42" s="96">
        <f>0.9*E42*$F$14</f>
        <v>421200</v>
      </c>
      <c r="G42" s="96">
        <f>F42*5</f>
        <v>2106000</v>
      </c>
      <c r="H42" s="96">
        <f>G42*2</f>
        <v>4212000</v>
      </c>
    </row>
    <row r="44" spans="1:9" ht="14.45" x14ac:dyDescent="0.3">
      <c r="B44" s="16" t="s">
        <v>80</v>
      </c>
      <c r="C44" s="16"/>
      <c r="D44" s="16"/>
      <c r="E44" s="17">
        <f>SUM(E39:E42)</f>
        <v>102300</v>
      </c>
      <c r="F44" s="291">
        <f t="shared" ref="F44:H44" si="8">SUM(F39:F42)</f>
        <v>920700</v>
      </c>
      <c r="G44" s="291">
        <f t="shared" si="8"/>
        <v>4603500</v>
      </c>
      <c r="H44" s="291">
        <f t="shared" si="8"/>
        <v>9207000</v>
      </c>
    </row>
    <row r="45" spans="1:9" s="425" customFormat="1" ht="14.45" x14ac:dyDescent="0.3">
      <c r="B45" s="426"/>
      <c r="C45" s="426"/>
      <c r="D45" s="426"/>
      <c r="E45" s="434"/>
      <c r="F45" s="434"/>
      <c r="G45" s="434"/>
      <c r="H45" s="434"/>
    </row>
    <row r="47" spans="1:9" s="253" customFormat="1" ht="14.45" x14ac:dyDescent="0.3">
      <c r="A47" s="174" t="s">
        <v>148</v>
      </c>
    </row>
    <row r="48" spans="1:9" s="253" customFormat="1" ht="14.45" x14ac:dyDescent="0.3">
      <c r="A48" s="253" t="s">
        <v>19</v>
      </c>
      <c r="B48" s="253" t="s">
        <v>283</v>
      </c>
    </row>
    <row r="49" spans="1:12" s="253" customFormat="1" x14ac:dyDescent="0.25">
      <c r="A49" s="253" t="s">
        <v>21</v>
      </c>
      <c r="B49" s="478" t="s">
        <v>283</v>
      </c>
    </row>
    <row r="50" spans="1:12" s="253" customFormat="1" x14ac:dyDescent="0.25">
      <c r="A50" s="253" t="s">
        <v>23</v>
      </c>
      <c r="B50" s="478" t="s">
        <v>283</v>
      </c>
    </row>
    <row r="51" spans="1:12" s="598" customFormat="1" x14ac:dyDescent="0.25">
      <c r="A51" s="598" t="s">
        <v>24</v>
      </c>
      <c r="B51" s="598" t="s">
        <v>283</v>
      </c>
    </row>
    <row r="52" spans="1:12" s="253" customFormat="1" x14ac:dyDescent="0.25"/>
    <row r="53" spans="1:12" s="253" customFormat="1" x14ac:dyDescent="0.25">
      <c r="A53" s="174" t="s">
        <v>212</v>
      </c>
    </row>
    <row r="54" spans="1:12" s="253" customFormat="1" x14ac:dyDescent="0.25">
      <c r="A54" s="478" t="s">
        <v>19</v>
      </c>
      <c r="B54" s="253" t="s">
        <v>284</v>
      </c>
      <c r="L54" s="175"/>
    </row>
    <row r="55" spans="1:12" s="253" customFormat="1" x14ac:dyDescent="0.25">
      <c r="A55" s="478" t="s">
        <v>21</v>
      </c>
      <c r="B55" s="478" t="s">
        <v>284</v>
      </c>
    </row>
    <row r="56" spans="1:12" s="253" customFormat="1" x14ac:dyDescent="0.25">
      <c r="A56" s="478" t="s">
        <v>23</v>
      </c>
      <c r="B56" s="478" t="s">
        <v>284</v>
      </c>
    </row>
    <row r="57" spans="1:12" x14ac:dyDescent="0.25">
      <c r="A57" t="s">
        <v>24</v>
      </c>
      <c r="B57" t="s">
        <v>284</v>
      </c>
    </row>
  </sheetData>
  <pageMargins left="0.7" right="0.7" top="0.75" bottom="0.75" header="0.3" footer="0.3"/>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zoomScale="90" zoomScaleNormal="90" zoomScalePageLayoutView="125" workbookViewId="0">
      <selection activeCell="K26" sqref="K26:O30"/>
    </sheetView>
  </sheetViews>
  <sheetFormatPr defaultColWidth="8.85546875" defaultRowHeight="15" x14ac:dyDescent="0.25"/>
  <cols>
    <col min="1" max="1" width="5.85546875" style="610" customWidth="1"/>
    <col min="2" max="2" width="5.7109375" style="610" customWidth="1"/>
    <col min="3" max="3" width="53.42578125" style="610" customWidth="1"/>
    <col min="4" max="4" width="17.5703125" style="610" bestFit="1" customWidth="1"/>
    <col min="5" max="5" width="11.42578125" style="923" customWidth="1"/>
    <col min="6" max="6" width="15" style="610" bestFit="1" customWidth="1"/>
    <col min="7" max="8" width="16.140625" style="610" bestFit="1" customWidth="1"/>
    <col min="9" max="9" width="17.28515625" style="610" bestFit="1" customWidth="1"/>
    <col min="10" max="10" width="8.85546875" style="610"/>
    <col min="11" max="11" width="18.85546875" style="610" bestFit="1" customWidth="1"/>
    <col min="12" max="12" width="14.7109375" style="610" customWidth="1"/>
    <col min="13" max="13" width="12" style="610" bestFit="1" customWidth="1"/>
    <col min="14" max="14" width="14.28515625" style="610" customWidth="1"/>
    <col min="15" max="15" width="13.28515625" style="610" customWidth="1"/>
    <col min="16" max="16" width="13.85546875" style="610" customWidth="1"/>
    <col min="17" max="17" width="14.140625" style="610" customWidth="1"/>
    <col min="18" max="18" width="10.42578125" style="610" customWidth="1"/>
    <col min="19" max="20" width="11.42578125" style="610" bestFit="1" customWidth="1"/>
    <col min="21" max="16384" width="8.85546875" style="610"/>
  </cols>
  <sheetData>
    <row r="1" spans="1:23" x14ac:dyDescent="0.25">
      <c r="A1" s="595" t="s">
        <v>365</v>
      </c>
    </row>
    <row r="3" spans="1:23" x14ac:dyDescent="0.25">
      <c r="A3" s="595" t="s">
        <v>109</v>
      </c>
      <c r="D3" s="610" t="s">
        <v>65</v>
      </c>
      <c r="F3" s="610">
        <v>1</v>
      </c>
      <c r="G3" s="610">
        <v>10</v>
      </c>
      <c r="H3" s="610">
        <v>50</v>
      </c>
      <c r="I3" s="610">
        <v>100</v>
      </c>
      <c r="K3" s="925" t="s">
        <v>889</v>
      </c>
    </row>
    <row r="4" spans="1:23" x14ac:dyDescent="0.25">
      <c r="A4" s="595"/>
      <c r="B4" s="610" t="s">
        <v>19</v>
      </c>
      <c r="C4" s="610" t="s">
        <v>897</v>
      </c>
      <c r="F4" s="464">
        <f>F21</f>
        <v>350888.61748900829</v>
      </c>
      <c r="G4" s="464">
        <f>G21</f>
        <v>3157997.557401075</v>
      </c>
      <c r="H4" s="464">
        <f>H21</f>
        <v>15789987.787005376</v>
      </c>
      <c r="I4" s="464">
        <f>I21</f>
        <v>31579975.574010752</v>
      </c>
      <c r="K4" s="610" t="s">
        <v>890</v>
      </c>
    </row>
    <row r="5" spans="1:23" x14ac:dyDescent="0.25">
      <c r="A5" s="595"/>
      <c r="B5" s="610" t="s">
        <v>21</v>
      </c>
      <c r="C5" s="610" t="s">
        <v>22</v>
      </c>
      <c r="F5" s="464">
        <f>F29</f>
        <v>750729.22372692032</v>
      </c>
      <c r="G5" s="464">
        <f>G29</f>
        <v>3711510.7554280576</v>
      </c>
      <c r="H5" s="464">
        <f>H29</f>
        <v>14500827.710911222</v>
      </c>
      <c r="I5" s="464">
        <f>I29</f>
        <v>26562571.412105411</v>
      </c>
      <c r="K5" s="610" t="s">
        <v>891</v>
      </c>
    </row>
    <row r="6" spans="1:23" x14ac:dyDescent="0.25">
      <c r="A6" s="595"/>
      <c r="B6" s="610" t="s">
        <v>23</v>
      </c>
      <c r="C6" s="610" t="s">
        <v>362</v>
      </c>
      <c r="F6" s="464">
        <f>F35</f>
        <v>60000</v>
      </c>
      <c r="G6" s="464">
        <f>G35</f>
        <v>540000</v>
      </c>
      <c r="H6" s="464">
        <f>H35</f>
        <v>2700000</v>
      </c>
      <c r="I6" s="464">
        <f>I35</f>
        <v>5400000</v>
      </c>
    </row>
    <row r="7" spans="1:23" x14ac:dyDescent="0.25">
      <c r="A7" s="595"/>
      <c r="B7" s="610" t="s">
        <v>23</v>
      </c>
      <c r="C7" s="610" t="s">
        <v>25</v>
      </c>
      <c r="F7" s="464">
        <f>F47</f>
        <v>102300</v>
      </c>
      <c r="G7" s="464">
        <f>G47</f>
        <v>920700</v>
      </c>
      <c r="H7" s="464">
        <f>H47</f>
        <v>4603500</v>
      </c>
      <c r="I7" s="464">
        <f>I47</f>
        <v>9207000</v>
      </c>
    </row>
    <row r="8" spans="1:23" x14ac:dyDescent="0.25">
      <c r="A8" s="595"/>
      <c r="B8" s="610" t="s">
        <v>24</v>
      </c>
      <c r="C8" s="610" t="s">
        <v>17</v>
      </c>
      <c r="F8" s="464"/>
      <c r="G8" s="464"/>
      <c r="H8" s="464"/>
      <c r="I8" s="464"/>
    </row>
    <row r="9" spans="1:23" x14ac:dyDescent="0.25">
      <c r="A9" s="595"/>
      <c r="D9" s="464"/>
      <c r="E9" s="877"/>
      <c r="F9" s="464"/>
      <c r="G9" s="464"/>
      <c r="H9" s="464"/>
    </row>
    <row r="10" spans="1:23" x14ac:dyDescent="0.25">
      <c r="A10" s="595"/>
      <c r="B10" s="288" t="s">
        <v>80</v>
      </c>
      <c r="C10" s="288"/>
      <c r="D10" s="291"/>
      <c r="E10" s="291"/>
      <c r="F10" s="291">
        <f>SUM(F4:F7)</f>
        <v>1263917.8412159286</v>
      </c>
      <c r="G10" s="291">
        <f>SUM(G4:G7)</f>
        <v>8330208.3128291331</v>
      </c>
      <c r="H10" s="291">
        <f>SUM(H4:H7)</f>
        <v>37594315.497916594</v>
      </c>
      <c r="I10" s="291">
        <f>SUM(I4:I7)</f>
        <v>72749546.986116171</v>
      </c>
      <c r="K10" s="389"/>
      <c r="L10" s="389"/>
      <c r="M10" s="389"/>
    </row>
    <row r="11" spans="1:23" x14ac:dyDescent="0.25">
      <c r="A11" s="595"/>
      <c r="D11" s="464"/>
      <c r="E11" s="877"/>
      <c r="F11" s="464"/>
      <c r="G11" s="464"/>
      <c r="H11" s="464"/>
    </row>
    <row r="12" spans="1:23" x14ac:dyDescent="0.25">
      <c r="A12" s="595"/>
      <c r="D12" s="464"/>
      <c r="E12" s="877"/>
      <c r="F12" s="464"/>
      <c r="G12" s="464"/>
      <c r="H12" s="464"/>
    </row>
    <row r="13" spans="1:23" x14ac:dyDescent="0.25">
      <c r="A13" s="595"/>
      <c r="D13" s="464"/>
      <c r="E13" s="877"/>
      <c r="F13" s="464"/>
      <c r="G13" s="80" t="s">
        <v>259</v>
      </c>
      <c r="H13" s="464" t="s">
        <v>65</v>
      </c>
      <c r="K13" s="925" t="s">
        <v>884</v>
      </c>
    </row>
    <row r="14" spans="1:23" x14ac:dyDescent="0.25">
      <c r="A14" s="595" t="s">
        <v>135</v>
      </c>
      <c r="F14" s="504">
        <v>1</v>
      </c>
      <c r="G14" s="504">
        <v>10</v>
      </c>
      <c r="H14" s="504">
        <v>50</v>
      </c>
      <c r="I14" s="504">
        <v>100</v>
      </c>
      <c r="K14" s="674"/>
      <c r="L14" s="674" t="s">
        <v>495</v>
      </c>
      <c r="M14" s="674" t="s">
        <v>496</v>
      </c>
      <c r="N14" s="674" t="s">
        <v>497</v>
      </c>
      <c r="O14" s="674" t="s">
        <v>498</v>
      </c>
      <c r="P14" s="674" t="s">
        <v>499</v>
      </c>
      <c r="R14" s="1249"/>
      <c r="S14" s="1249"/>
      <c r="T14" s="1249"/>
      <c r="U14" s="1249"/>
      <c r="V14" s="1249"/>
      <c r="W14" s="1249"/>
    </row>
    <row r="15" spans="1:23" x14ac:dyDescent="0.25">
      <c r="A15" s="595"/>
      <c r="D15" s="610" t="s">
        <v>886</v>
      </c>
      <c r="E15" s="923" t="s">
        <v>885</v>
      </c>
      <c r="F15" s="504"/>
      <c r="G15" s="504"/>
      <c r="H15" s="504"/>
      <c r="I15" s="504"/>
      <c r="K15" s="674"/>
      <c r="L15" s="674"/>
      <c r="M15" s="674"/>
      <c r="N15" s="674"/>
      <c r="O15" s="674"/>
      <c r="P15" s="674"/>
      <c r="R15" s="1249"/>
      <c r="S15" s="1249"/>
      <c r="T15" s="1249"/>
      <c r="U15" s="1249"/>
      <c r="V15" s="1249"/>
      <c r="W15" s="1249"/>
    </row>
    <row r="16" spans="1:23" ht="15" customHeight="1" x14ac:dyDescent="0.25">
      <c r="A16" s="595"/>
      <c r="B16" s="986" t="s">
        <v>1021</v>
      </c>
      <c r="C16" s="986"/>
      <c r="D16" s="986">
        <v>320</v>
      </c>
      <c r="E16" s="986">
        <v>68000</v>
      </c>
      <c r="F16" s="1202">
        <f>($D$16*($E$16/3680)*M16*F14)</f>
        <v>323888.61748900829</v>
      </c>
      <c r="G16" s="1202">
        <f>($D$16*($E$16/3680)*N16*G14)</f>
        <v>2914997.557401075</v>
      </c>
      <c r="H16" s="1202">
        <f>($D$16*($E$16/3680)*O16*H14)</f>
        <v>14574987.787005376</v>
      </c>
      <c r="I16" s="1202">
        <f>($D$16*($E$16/3680)*P16*I14)</f>
        <v>29149975.574010752</v>
      </c>
      <c r="K16" s="674" t="s">
        <v>500</v>
      </c>
      <c r="L16" s="674">
        <f>267*3</f>
        <v>801</v>
      </c>
      <c r="M16" s="1210">
        <f>(F18/$L$16)/F14</f>
        <v>54.775280898876403</v>
      </c>
      <c r="N16" s="1210">
        <f>(G18/$L$16)/G14</f>
        <v>49.297752808988761</v>
      </c>
      <c r="O16" s="1210">
        <f>(H18/$L$16)/H14</f>
        <v>49.297752808988761</v>
      </c>
      <c r="P16" s="1210">
        <f>(I18/$L$16)/I14</f>
        <v>49.297752808988761</v>
      </c>
      <c r="R16" s="1249"/>
      <c r="S16" s="1249"/>
      <c r="T16" s="1249"/>
      <c r="U16" s="1249"/>
      <c r="V16" s="1249"/>
      <c r="W16" s="1249"/>
    </row>
    <row r="17" spans="1:22" x14ac:dyDescent="0.25">
      <c r="A17" s="595"/>
      <c r="B17" s="986" t="s">
        <v>274</v>
      </c>
      <c r="C17" s="986"/>
      <c r="D17" s="986"/>
      <c r="E17" s="986"/>
      <c r="F17" s="1202">
        <v>27000</v>
      </c>
      <c r="G17" s="1203">
        <f>0.9*F17*$G$14</f>
        <v>243000</v>
      </c>
      <c r="H17" s="1203">
        <f>G17*5</f>
        <v>1215000</v>
      </c>
      <c r="I17" s="1203">
        <f>H17*2</f>
        <v>2430000</v>
      </c>
      <c r="K17" s="674"/>
      <c r="L17" s="674"/>
      <c r="M17" s="1211"/>
      <c r="N17" s="1211"/>
      <c r="O17" s="1211"/>
      <c r="P17" s="1211"/>
    </row>
    <row r="18" spans="1:22" x14ac:dyDescent="0.25">
      <c r="B18" s="1205" t="s">
        <v>276</v>
      </c>
      <c r="C18" s="1205"/>
      <c r="D18" s="1205"/>
      <c r="E18" s="1205"/>
      <c r="F18" s="1206">
        <v>43875</v>
      </c>
      <c r="G18" s="1207">
        <f t="shared" ref="G18:G19" si="0">0.9*F18*$G$14</f>
        <v>394875</v>
      </c>
      <c r="H18" s="1207">
        <f t="shared" ref="H18:H19" si="1">G18*5</f>
        <v>1974375</v>
      </c>
      <c r="I18" s="1207">
        <f t="shared" ref="I18:I19" si="2">H18*2</f>
        <v>3948750</v>
      </c>
      <c r="K18" s="674" t="s">
        <v>501</v>
      </c>
      <c r="L18" s="674">
        <v>82.3</v>
      </c>
      <c r="M18" s="1210">
        <f>(F19/$L$18)/F14</f>
        <v>1356.0145808019442</v>
      </c>
      <c r="N18" s="1210">
        <f>(G19/$L$18)/G14</f>
        <v>1220.4131227217499</v>
      </c>
      <c r="O18" s="1210">
        <f>(H19/$L$18)/H14</f>
        <v>1220.4131227217497</v>
      </c>
      <c r="P18" s="1210">
        <f>(I19/$L$18)/I14</f>
        <v>1220.4131227217497</v>
      </c>
      <c r="Q18" s="610" t="s">
        <v>503</v>
      </c>
    </row>
    <row r="19" spans="1:22" x14ac:dyDescent="0.25">
      <c r="A19" s="595"/>
      <c r="B19" s="1205" t="s">
        <v>277</v>
      </c>
      <c r="C19" s="1205"/>
      <c r="D19" s="1205"/>
      <c r="E19" s="1205"/>
      <c r="F19" s="1206">
        <v>111600</v>
      </c>
      <c r="G19" s="1207">
        <f t="shared" si="0"/>
        <v>1004400</v>
      </c>
      <c r="H19" s="1207">
        <f t="shared" si="1"/>
        <v>5022000</v>
      </c>
      <c r="I19" s="1207">
        <f t="shared" si="2"/>
        <v>10044000</v>
      </c>
      <c r="K19" s="674" t="s">
        <v>508</v>
      </c>
      <c r="L19" s="674" t="s">
        <v>502</v>
      </c>
      <c r="M19" s="674">
        <f>4.5*$M$21</f>
        <v>302.76</v>
      </c>
      <c r="N19" s="674">
        <f>4.05*$M$21</f>
        <v>272.48399999999998</v>
      </c>
      <c r="O19" s="674">
        <f t="shared" ref="O19:P19" si="3">4.05*$M$21</f>
        <v>272.48399999999998</v>
      </c>
      <c r="P19" s="674">
        <f t="shared" si="3"/>
        <v>272.48399999999998</v>
      </c>
      <c r="Q19" s="610" t="s">
        <v>504</v>
      </c>
    </row>
    <row r="20" spans="1:22" x14ac:dyDescent="0.25">
      <c r="A20" s="595"/>
      <c r="B20" s="986"/>
      <c r="C20" s="986"/>
      <c r="D20" s="986"/>
      <c r="E20" s="986"/>
      <c r="F20" s="986"/>
      <c r="G20" s="986"/>
      <c r="H20" s="986"/>
      <c r="I20" s="986"/>
      <c r="R20" s="678"/>
      <c r="S20" s="678"/>
      <c r="T20" s="678"/>
      <c r="U20" s="678"/>
      <c r="V20" s="678"/>
    </row>
    <row r="21" spans="1:22" x14ac:dyDescent="0.25">
      <c r="A21" s="595"/>
      <c r="B21" s="897" t="s">
        <v>80</v>
      </c>
      <c r="C21" s="897"/>
      <c r="D21" s="897"/>
      <c r="E21" s="897"/>
      <c r="F21" s="518">
        <f>SUM(F16:F17)</f>
        <v>350888.61748900829</v>
      </c>
      <c r="G21" s="518">
        <f>SUM(G16:G17)</f>
        <v>3157997.557401075</v>
      </c>
      <c r="H21" s="518">
        <f>SUM(H16:H17)</f>
        <v>15789987.787005376</v>
      </c>
      <c r="I21" s="518">
        <f>SUM(I16:I17)</f>
        <v>31579975.574010752</v>
      </c>
      <c r="L21" s="610" t="s">
        <v>506</v>
      </c>
      <c r="M21" s="610">
        <f>(58^2)*0.02</f>
        <v>67.28</v>
      </c>
      <c r="N21" s="610" t="s">
        <v>505</v>
      </c>
      <c r="R21" s="678"/>
      <c r="S21" s="678"/>
      <c r="T21" s="678"/>
      <c r="U21" s="678"/>
      <c r="V21" s="678"/>
    </row>
    <row r="22" spans="1:22" x14ac:dyDescent="0.25">
      <c r="A22" s="595"/>
      <c r="B22" s="977"/>
      <c r="C22" s="977"/>
      <c r="D22" s="977"/>
      <c r="E22" s="977">
        <f>E16/9.81</f>
        <v>6931.702344546381</v>
      </c>
      <c r="F22" s="28"/>
      <c r="G22" s="28"/>
      <c r="H22" s="28"/>
      <c r="I22" s="28"/>
      <c r="L22" s="480" t="s">
        <v>507</v>
      </c>
      <c r="M22" s="610">
        <f>765*2+155</f>
        <v>1685</v>
      </c>
      <c r="N22" s="610" t="s">
        <v>132</v>
      </c>
    </row>
    <row r="23" spans="1:22" x14ac:dyDescent="0.25">
      <c r="A23" s="595"/>
      <c r="B23" s="986"/>
      <c r="C23" s="986"/>
      <c r="D23" s="986"/>
      <c r="E23" s="986"/>
      <c r="F23" s="986"/>
      <c r="G23" s="863" t="s">
        <v>259</v>
      </c>
      <c r="H23" s="986" t="s">
        <v>65</v>
      </c>
      <c r="I23" s="986"/>
    </row>
    <row r="24" spans="1:22" ht="14.45" x14ac:dyDescent="0.3">
      <c r="A24" s="595" t="s">
        <v>136</v>
      </c>
      <c r="B24" s="986"/>
      <c r="C24" s="986"/>
      <c r="D24" s="986"/>
      <c r="E24" s="986"/>
      <c r="F24" s="1200">
        <v>1</v>
      </c>
      <c r="G24" s="1200">
        <v>10</v>
      </c>
      <c r="H24" s="1200">
        <v>50</v>
      </c>
      <c r="I24" s="1200">
        <v>100</v>
      </c>
    </row>
    <row r="25" spans="1:22" ht="14.45" x14ac:dyDescent="0.3">
      <c r="B25" s="986"/>
      <c r="C25" s="986"/>
      <c r="D25" s="986" t="s">
        <v>943</v>
      </c>
      <c r="E25" s="986" t="s">
        <v>946</v>
      </c>
      <c r="F25" s="1200"/>
      <c r="G25" s="1200"/>
      <c r="H25" s="1200"/>
      <c r="I25" s="1200"/>
      <c r="K25" s="78" t="s">
        <v>935</v>
      </c>
    </row>
    <row r="26" spans="1:22" ht="14.45" x14ac:dyDescent="0.3">
      <c r="B26" s="986" t="s">
        <v>971</v>
      </c>
      <c r="C26" s="986"/>
      <c r="D26" s="108">
        <f>D28</f>
        <v>13.050381782162983</v>
      </c>
      <c r="E26" s="986">
        <v>8</v>
      </c>
      <c r="F26" s="28">
        <f>M54*L54*D26</f>
        <v>440729.22372692026</v>
      </c>
      <c r="G26" s="28">
        <f>M55*L55*D26</f>
        <v>3401510.7554280576</v>
      </c>
      <c r="H26" s="28">
        <f>M56*L56*D26</f>
        <v>14190827.710911222</v>
      </c>
      <c r="I26" s="28">
        <f>M57*L57*D26</f>
        <v>26252571.412105411</v>
      </c>
      <c r="K26" s="674" t="s">
        <v>879</v>
      </c>
      <c r="L26" s="674" t="s">
        <v>880</v>
      </c>
      <c r="M26" s="674" t="s">
        <v>881</v>
      </c>
      <c r="N26" s="674" t="s">
        <v>882</v>
      </c>
      <c r="O26" s="674" t="s">
        <v>883</v>
      </c>
    </row>
    <row r="27" spans="1:22" ht="14.45" x14ac:dyDescent="0.3">
      <c r="B27" s="986" t="s">
        <v>972</v>
      </c>
      <c r="C27" s="986"/>
      <c r="D27" s="108">
        <f>D28</f>
        <v>13.050381782162983</v>
      </c>
      <c r="E27" s="986"/>
      <c r="F27" s="28">
        <f>L43</f>
        <v>310000</v>
      </c>
      <c r="G27" s="28">
        <f>M43</f>
        <v>310000</v>
      </c>
      <c r="H27" s="28">
        <f>N43</f>
        <v>310000</v>
      </c>
      <c r="I27" s="28">
        <f>O43</f>
        <v>310000</v>
      </c>
      <c r="K27" s="674" t="s">
        <v>878</v>
      </c>
      <c r="L27" s="1210">
        <v>350000</v>
      </c>
      <c r="M27" s="1210">
        <v>493000</v>
      </c>
      <c r="N27" s="1210">
        <v>1153000</v>
      </c>
      <c r="O27" s="1210">
        <v>1978000</v>
      </c>
    </row>
    <row r="28" spans="1:22" ht="14.45" x14ac:dyDescent="0.3">
      <c r="A28" s="945"/>
      <c r="B28" s="1205" t="s">
        <v>877</v>
      </c>
      <c r="C28" s="1205"/>
      <c r="D28" s="1208">
        <f>L68</f>
        <v>13.050381782162983</v>
      </c>
      <c r="E28" s="1205">
        <f>E26</f>
        <v>8</v>
      </c>
      <c r="F28" s="1209">
        <f>$D$28*$E$28*F24*Y75</f>
        <v>1644245.6430647345</v>
      </c>
      <c r="G28" s="1209">
        <f>$D$28*$E$28*G24*Y76</f>
        <v>3819308.1511921869</v>
      </c>
      <c r="H28" s="1209">
        <f>$D$28*$E$28*H24*Y77</f>
        <v>13572397.053449502</v>
      </c>
      <c r="I28" s="1209">
        <f>$D$28*$E$28*I24*Y78</f>
        <v>27144794.106899004</v>
      </c>
      <c r="K28" s="1210" t="s">
        <v>968</v>
      </c>
      <c r="L28" s="674">
        <v>5</v>
      </c>
      <c r="M28" s="674">
        <v>50</v>
      </c>
      <c r="N28" s="674">
        <v>250</v>
      </c>
      <c r="O28" s="674">
        <v>500</v>
      </c>
      <c r="P28" s="924"/>
      <c r="Q28" s="924"/>
      <c r="R28" s="924"/>
    </row>
    <row r="29" spans="1:22" s="985" customFormat="1" ht="14.45" x14ac:dyDescent="0.3">
      <c r="B29" s="288" t="s">
        <v>80</v>
      </c>
      <c r="C29" s="288"/>
      <c r="D29" s="288"/>
      <c r="E29" s="885"/>
      <c r="F29" s="991">
        <f>SUM(F26:F27)</f>
        <v>750729.22372692032</v>
      </c>
      <c r="G29" s="991">
        <f t="shared" ref="G29:H29" si="4">SUM(G26:G27)</f>
        <v>3711510.7554280576</v>
      </c>
      <c r="H29" s="991">
        <f t="shared" si="4"/>
        <v>14500827.710911222</v>
      </c>
      <c r="I29" s="991">
        <f>SUM(I26:I27)</f>
        <v>26562571.412105411</v>
      </c>
      <c r="K29" s="1210"/>
      <c r="L29" s="674"/>
      <c r="M29" s="674"/>
      <c r="N29" s="674"/>
      <c r="O29" s="674"/>
      <c r="P29" s="986"/>
      <c r="Q29" s="986"/>
      <c r="R29" s="986"/>
    </row>
    <row r="30" spans="1:22" ht="14.45" x14ac:dyDescent="0.3">
      <c r="A30" s="595"/>
      <c r="B30" s="479"/>
      <c r="C30" s="479"/>
      <c r="D30" s="479"/>
      <c r="E30" s="883" t="s">
        <v>979</v>
      </c>
      <c r="F30" s="992">
        <f>SUM(F26:F27)/($D$28*$E$28*F24)</f>
        <v>7190.6825817253384</v>
      </c>
      <c r="G30" s="992">
        <f>SUM(G26:G27)/($D$28*$E$28*G24)</f>
        <v>3554.9829282589271</v>
      </c>
      <c r="H30" s="992">
        <f>SUM(H26:H27)/($D$28*$E$28*H24)</f>
        <v>2777.8550759968343</v>
      </c>
      <c r="I30" s="992">
        <f>SUM(I26:I27)/($D$28*$E$28*I24)</f>
        <v>2544.2331741216408</v>
      </c>
      <c r="K30" s="674" t="s">
        <v>185</v>
      </c>
      <c r="L30" s="1210">
        <f>L27/L28</f>
        <v>70000</v>
      </c>
      <c r="M30" s="1210">
        <f>M27/M28</f>
        <v>9860</v>
      </c>
      <c r="N30" s="1210">
        <f>N27/N28</f>
        <v>4612</v>
      </c>
      <c r="O30" s="1210">
        <f>O27/O28</f>
        <v>3956</v>
      </c>
      <c r="P30" s="924"/>
      <c r="Q30" s="924"/>
      <c r="R30" s="924"/>
    </row>
    <row r="31" spans="1:22" ht="14.45" x14ac:dyDescent="0.3">
      <c r="A31" s="595"/>
      <c r="E31" s="610"/>
      <c r="L31" s="924"/>
      <c r="M31" s="938"/>
      <c r="N31" s="938"/>
      <c r="O31" s="938"/>
      <c r="P31" s="938"/>
      <c r="Q31" s="924"/>
      <c r="R31" s="924"/>
    </row>
    <row r="32" spans="1:22" ht="14.45" x14ac:dyDescent="0.3">
      <c r="A32" s="595"/>
      <c r="G32" s="407" t="s">
        <v>259</v>
      </c>
      <c r="H32" s="610" t="s">
        <v>65</v>
      </c>
      <c r="K32" s="1011" t="s">
        <v>944</v>
      </c>
      <c r="L32" s="1011">
        <v>10</v>
      </c>
      <c r="M32" s="1011">
        <v>50</v>
      </c>
      <c r="N32" s="1011">
        <v>100</v>
      </c>
      <c r="O32" s="1011"/>
      <c r="P32" s="391"/>
      <c r="Q32" s="924"/>
      <c r="R32" s="924"/>
    </row>
    <row r="33" spans="1:18" ht="14.45" x14ac:dyDescent="0.3">
      <c r="A33" s="595" t="s">
        <v>455</v>
      </c>
      <c r="F33" s="504">
        <v>1</v>
      </c>
      <c r="G33" s="504">
        <v>10</v>
      </c>
      <c r="H33" s="504">
        <v>50</v>
      </c>
      <c r="I33" s="504">
        <v>100</v>
      </c>
      <c r="J33" s="434"/>
      <c r="K33" s="1011" t="s">
        <v>939</v>
      </c>
      <c r="L33" s="1012">
        <f>(L27*10-M27)/9</f>
        <v>334111.11111111112</v>
      </c>
      <c r="M33" s="1012">
        <f>L33</f>
        <v>334111.11111111112</v>
      </c>
      <c r="N33" s="1012">
        <f>M33</f>
        <v>334111.11111111112</v>
      </c>
      <c r="O33" s="1012"/>
      <c r="P33" s="938"/>
      <c r="Q33" s="924"/>
      <c r="R33" s="924"/>
    </row>
    <row r="34" spans="1:18" ht="14.45" x14ac:dyDescent="0.3">
      <c r="F34" s="80"/>
      <c r="G34" s="96"/>
      <c r="H34" s="407"/>
      <c r="I34" s="407"/>
      <c r="J34" s="434"/>
      <c r="K34" s="1011" t="s">
        <v>937</v>
      </c>
      <c r="L34" s="1012">
        <f>M27-L33</f>
        <v>158888.88888888888</v>
      </c>
      <c r="M34" s="1012"/>
      <c r="N34" s="1013"/>
      <c r="O34" s="1012"/>
      <c r="P34" s="391"/>
      <c r="Q34" s="924"/>
      <c r="R34" s="924"/>
    </row>
    <row r="35" spans="1:18" ht="14.45" x14ac:dyDescent="0.3">
      <c r="B35" s="610" t="s">
        <v>275</v>
      </c>
      <c r="F35" s="80">
        <v>60000</v>
      </c>
      <c r="G35" s="96">
        <f>0.9*F35*$G$14</f>
        <v>540000</v>
      </c>
      <c r="H35" s="96">
        <f>G35*5</f>
        <v>2700000</v>
      </c>
      <c r="I35" s="96">
        <f>H35*2</f>
        <v>5400000</v>
      </c>
      <c r="J35" s="434"/>
      <c r="K35" s="1011" t="s">
        <v>938</v>
      </c>
      <c r="L35" s="1012">
        <f>L34/L32</f>
        <v>15888.888888888887</v>
      </c>
      <c r="M35" s="1012">
        <f>L35/1.15</f>
        <v>13816.425120772947</v>
      </c>
      <c r="N35" s="1012">
        <f>M35/1.15</f>
        <v>12014.282713715607</v>
      </c>
      <c r="O35" s="1013"/>
      <c r="P35" s="924"/>
      <c r="Q35" s="924"/>
      <c r="R35" s="924"/>
    </row>
    <row r="36" spans="1:18" ht="14.45" x14ac:dyDescent="0.3">
      <c r="F36" s="464"/>
      <c r="G36" s="464"/>
      <c r="H36" s="464"/>
      <c r="I36" s="464"/>
      <c r="J36" s="434"/>
      <c r="K36" s="1014" t="s">
        <v>940</v>
      </c>
      <c r="L36" s="1012">
        <f>L35/5</f>
        <v>3177.7777777777774</v>
      </c>
      <c r="M36" s="1012">
        <f>M35/5</f>
        <v>2763.2850241545893</v>
      </c>
      <c r="N36" s="1013">
        <f>N35/5</f>
        <v>2402.8565427431213</v>
      </c>
      <c r="O36" s="1015"/>
      <c r="P36" s="939"/>
      <c r="Q36" s="924"/>
      <c r="R36" s="924"/>
    </row>
    <row r="37" spans="1:18" ht="14.45" x14ac:dyDescent="0.3">
      <c r="B37" s="288" t="s">
        <v>80</v>
      </c>
      <c r="C37" s="288"/>
      <c r="D37" s="288"/>
      <c r="E37" s="885"/>
      <c r="F37" s="291">
        <f>SUM(F34:F35)</f>
        <v>60000</v>
      </c>
      <c r="G37" s="291">
        <f>SUM(G34:G35)</f>
        <v>540000</v>
      </c>
      <c r="H37" s="291">
        <f>SUM(H34:H35)</f>
        <v>2700000</v>
      </c>
      <c r="I37" s="291">
        <f>SUM(I34:I35)</f>
        <v>5400000</v>
      </c>
      <c r="J37" s="434"/>
      <c r="K37" s="1014" t="s">
        <v>941</v>
      </c>
      <c r="L37" s="1012">
        <f>L33/5</f>
        <v>66822.222222222219</v>
      </c>
      <c r="M37" s="1012">
        <f t="shared" ref="M37:N37" si="5">M33/5</f>
        <v>66822.222222222219</v>
      </c>
      <c r="N37" s="1012">
        <f t="shared" si="5"/>
        <v>66822.222222222219</v>
      </c>
      <c r="O37" s="1015"/>
      <c r="P37" s="940"/>
      <c r="Q37" s="924"/>
      <c r="R37" s="924"/>
    </row>
    <row r="38" spans="1:18" ht="14.45" x14ac:dyDescent="0.3">
      <c r="B38" s="479"/>
      <c r="C38" s="479"/>
      <c r="D38" s="479"/>
      <c r="E38" s="883"/>
      <c r="F38" s="434"/>
      <c r="G38" s="434"/>
      <c r="H38" s="434"/>
      <c r="I38" s="434"/>
      <c r="K38" s="1011" t="s">
        <v>951</v>
      </c>
      <c r="L38" s="1013">
        <f>SUM(L36:L37)</f>
        <v>70000</v>
      </c>
      <c r="M38" s="1013">
        <f>SUM(M36:M37)</f>
        <v>69585.507246376801</v>
      </c>
      <c r="N38" s="1013">
        <f>SUM(N36:N37)</f>
        <v>69225.078764965336</v>
      </c>
      <c r="O38" s="1011"/>
      <c r="P38" s="924"/>
      <c r="Q38" s="924"/>
      <c r="R38" s="924"/>
    </row>
    <row r="39" spans="1:18" ht="14.45" x14ac:dyDescent="0.3">
      <c r="A39" s="595"/>
      <c r="G39" s="407" t="s">
        <v>259</v>
      </c>
      <c r="H39" s="610" t="s">
        <v>65</v>
      </c>
      <c r="J39" s="434"/>
    </row>
    <row r="40" spans="1:18" thickBot="1" x14ac:dyDescent="0.35">
      <c r="A40" s="595" t="s">
        <v>454</v>
      </c>
      <c r="F40" s="504">
        <v>1</v>
      </c>
      <c r="G40" s="504">
        <v>10</v>
      </c>
      <c r="H40" s="407">
        <v>50</v>
      </c>
      <c r="I40" s="407">
        <v>100</v>
      </c>
      <c r="J40" s="434"/>
      <c r="K40" s="988" t="s">
        <v>977</v>
      </c>
    </row>
    <row r="41" spans="1:18" ht="14.45" x14ac:dyDescent="0.3">
      <c r="F41" s="80"/>
      <c r="G41" s="96"/>
      <c r="H41" s="407"/>
      <c r="I41" s="407"/>
      <c r="J41" s="434"/>
      <c r="K41" s="1024" t="s">
        <v>969</v>
      </c>
      <c r="L41" s="1022"/>
      <c r="M41" s="1022"/>
      <c r="N41" s="1022"/>
      <c r="O41" s="1022"/>
      <c r="P41" s="1023"/>
    </row>
    <row r="42" spans="1:18" ht="14.45" x14ac:dyDescent="0.3">
      <c r="B42" s="610" t="s">
        <v>278</v>
      </c>
      <c r="F42" s="80">
        <v>14100</v>
      </c>
      <c r="G42" s="96">
        <f>0.9*F42*$G$14</f>
        <v>126900</v>
      </c>
      <c r="H42" s="96">
        <f>G42*5</f>
        <v>634500</v>
      </c>
      <c r="I42" s="96">
        <f>H42*2</f>
        <v>1269000</v>
      </c>
      <c r="K42" s="1017"/>
      <c r="L42" s="775">
        <v>1</v>
      </c>
      <c r="M42" s="775">
        <v>10</v>
      </c>
      <c r="N42" s="775">
        <v>50</v>
      </c>
      <c r="O42" s="775">
        <v>100</v>
      </c>
      <c r="P42" s="1027">
        <v>1000</v>
      </c>
    </row>
    <row r="43" spans="1:18" ht="14.45" x14ac:dyDescent="0.3">
      <c r="B43" s="610" t="s">
        <v>279</v>
      </c>
      <c r="F43" s="80">
        <v>14400</v>
      </c>
      <c r="G43" s="96">
        <f>0.9*F43*$G$14</f>
        <v>129600</v>
      </c>
      <c r="H43" s="96">
        <f>G43*5</f>
        <v>648000</v>
      </c>
      <c r="I43" s="96">
        <f>H43*2</f>
        <v>1296000</v>
      </c>
      <c r="K43" s="1028" t="s">
        <v>963</v>
      </c>
      <c r="L43" s="1016">
        <v>310000</v>
      </c>
      <c r="M43" s="776">
        <f>L43</f>
        <v>310000</v>
      </c>
      <c r="N43" s="776">
        <f t="shared" ref="N43:O43" si="6">M43</f>
        <v>310000</v>
      </c>
      <c r="O43" s="776">
        <f t="shared" si="6"/>
        <v>310000</v>
      </c>
      <c r="P43" s="1019">
        <f>O43</f>
        <v>310000</v>
      </c>
    </row>
    <row r="44" spans="1:18" ht="14.45" x14ac:dyDescent="0.3">
      <c r="B44" s="610" t="s">
        <v>280</v>
      </c>
      <c r="F44" s="80">
        <v>27000</v>
      </c>
      <c r="G44" s="96">
        <f>0.9*F44*$G$14</f>
        <v>243000</v>
      </c>
      <c r="H44" s="96">
        <f>G44*5</f>
        <v>1215000</v>
      </c>
      <c r="I44" s="96">
        <f>H44*2</f>
        <v>2430000</v>
      </c>
      <c r="K44" s="1028" t="s">
        <v>936</v>
      </c>
      <c r="L44" s="776">
        <f>L27-L43</f>
        <v>40000</v>
      </c>
      <c r="M44" s="776">
        <f>$L$44*M42^(LOG($L$50)/LOG(2))</f>
        <v>23312.816093071917</v>
      </c>
      <c r="N44" s="776">
        <f>$L$44*N42^(LOG($L$50)/LOG(2))</f>
        <v>15984.923358511558</v>
      </c>
      <c r="O44" s="776">
        <f>$L$44*O42^(LOG($L$50)/LOG(2))</f>
        <v>13587.184854734824</v>
      </c>
      <c r="P44" s="1019">
        <f>O44</f>
        <v>13587.184854734824</v>
      </c>
    </row>
    <row r="45" spans="1:18" ht="14.45" x14ac:dyDescent="0.3">
      <c r="B45" s="610" t="s">
        <v>281</v>
      </c>
      <c r="F45" s="80">
        <v>46800</v>
      </c>
      <c r="G45" s="96">
        <f>0.9*F45*$G$14</f>
        <v>421200</v>
      </c>
      <c r="H45" s="96">
        <f>G45*5</f>
        <v>2106000</v>
      </c>
      <c r="I45" s="96">
        <f>H45*2</f>
        <v>4212000</v>
      </c>
      <c r="K45" s="1028" t="s">
        <v>965</v>
      </c>
      <c r="L45" s="776">
        <f>L44*L42</f>
        <v>40000</v>
      </c>
      <c r="M45" s="776">
        <f t="shared" ref="M45:N45" si="7">M44*M42</f>
        <v>233128.16093071917</v>
      </c>
      <c r="N45" s="776">
        <f t="shared" si="7"/>
        <v>799246.16792557784</v>
      </c>
      <c r="O45" s="776">
        <f>O44*O42</f>
        <v>1358718.4854734824</v>
      </c>
      <c r="P45" s="1019">
        <f>P44*P42</f>
        <v>13587184.854734823</v>
      </c>
    </row>
    <row r="46" spans="1:18" ht="14.45" x14ac:dyDescent="0.3">
      <c r="A46" s="595"/>
      <c r="K46" s="1028" t="s">
        <v>964</v>
      </c>
      <c r="L46" s="776">
        <f>L45+L43</f>
        <v>350000</v>
      </c>
      <c r="M46" s="776">
        <f t="shared" ref="M46:O46" si="8">M45+M43</f>
        <v>543128.16093071923</v>
      </c>
      <c r="N46" s="776">
        <f t="shared" si="8"/>
        <v>1109246.1679255778</v>
      </c>
      <c r="O46" s="776">
        <f t="shared" si="8"/>
        <v>1668718.4854734824</v>
      </c>
      <c r="P46" s="1019">
        <f>P45+P43</f>
        <v>13897184.854734823</v>
      </c>
    </row>
    <row r="47" spans="1:18" ht="14.45" x14ac:dyDescent="0.3">
      <c r="A47" s="595"/>
      <c r="B47" s="288" t="s">
        <v>80</v>
      </c>
      <c r="C47" s="288"/>
      <c r="D47" s="288"/>
      <c r="E47" s="885"/>
      <c r="F47" s="291">
        <f>SUM(F42:F45)</f>
        <v>102300</v>
      </c>
      <c r="G47" s="291">
        <f t="shared" ref="G47:I47" si="9">SUM(G42:G45)</f>
        <v>920700</v>
      </c>
      <c r="H47" s="291">
        <f t="shared" si="9"/>
        <v>4603500</v>
      </c>
      <c r="I47" s="291">
        <f t="shared" si="9"/>
        <v>9207000</v>
      </c>
      <c r="K47" s="1028" t="s">
        <v>966</v>
      </c>
      <c r="L47" s="777">
        <f>L44/5</f>
        <v>8000</v>
      </c>
      <c r="M47" s="777">
        <f t="shared" ref="M47:O47" si="10">M44/5</f>
        <v>4662.563218614383</v>
      </c>
      <c r="N47" s="777">
        <f t="shared" si="10"/>
        <v>3196.9846717023115</v>
      </c>
      <c r="O47" s="777">
        <f t="shared" si="10"/>
        <v>2717.4369709469647</v>
      </c>
      <c r="P47" s="1029">
        <f>O47</f>
        <v>2717.4369709469647</v>
      </c>
    </row>
    <row r="48" spans="1:18" ht="14.45" x14ac:dyDescent="0.3">
      <c r="A48" s="595"/>
      <c r="B48" s="479"/>
      <c r="C48" s="479"/>
      <c r="D48" s="479"/>
      <c r="E48" s="883"/>
      <c r="F48" s="434"/>
      <c r="G48" s="434"/>
      <c r="H48" s="434"/>
      <c r="I48" s="434"/>
      <c r="K48" s="1028"/>
      <c r="L48" s="784"/>
      <c r="M48" s="784"/>
      <c r="N48" s="784"/>
      <c r="O48" s="784"/>
      <c r="P48" s="1018"/>
    </row>
    <row r="49" spans="1:16" x14ac:dyDescent="0.25">
      <c r="A49" s="595"/>
      <c r="K49" s="1028" t="s">
        <v>967</v>
      </c>
      <c r="L49" s="777">
        <f>L46/(5*L42)</f>
        <v>70000</v>
      </c>
      <c r="M49" s="777">
        <f t="shared" ref="M49:O49" si="11">M46/(5*M42)</f>
        <v>10862.563218614385</v>
      </c>
      <c r="N49" s="777">
        <f t="shared" si="11"/>
        <v>4436.9846717023111</v>
      </c>
      <c r="O49" s="777">
        <f t="shared" si="11"/>
        <v>3337.4369709469647</v>
      </c>
      <c r="P49" s="1029">
        <f>P46/(5*P42)</f>
        <v>2779.4369709469647</v>
      </c>
    </row>
    <row r="50" spans="1:16" ht="15.75" thickBot="1" x14ac:dyDescent="0.3">
      <c r="K50" s="1025" t="s">
        <v>970</v>
      </c>
      <c r="L50" s="1026">
        <v>0.85</v>
      </c>
      <c r="M50" s="1020"/>
      <c r="N50" s="1020"/>
      <c r="O50" s="1020"/>
      <c r="P50" s="1021"/>
    </row>
    <row r="51" spans="1:16" x14ac:dyDescent="0.25">
      <c r="A51" s="595" t="s">
        <v>148</v>
      </c>
    </row>
    <row r="52" spans="1:16" x14ac:dyDescent="0.25">
      <c r="A52" s="610" t="s">
        <v>19</v>
      </c>
      <c r="B52" s="610" t="s">
        <v>283</v>
      </c>
      <c r="K52" s="674" t="s">
        <v>948</v>
      </c>
      <c r="L52" s="674"/>
      <c r="M52" s="674"/>
    </row>
    <row r="53" spans="1:16" x14ac:dyDescent="0.25">
      <c r="A53" s="610" t="s">
        <v>21</v>
      </c>
      <c r="B53" s="610" t="s">
        <v>283</v>
      </c>
      <c r="K53" s="674" t="s">
        <v>949</v>
      </c>
      <c r="L53" s="674" t="s">
        <v>942</v>
      </c>
      <c r="M53" s="674" t="s">
        <v>950</v>
      </c>
    </row>
    <row r="54" spans="1:16" x14ac:dyDescent="0.25">
      <c r="D54" s="985"/>
      <c r="E54" s="985"/>
      <c r="K54" s="674">
        <v>1</v>
      </c>
      <c r="L54" s="674">
        <f>K54*$E$28</f>
        <v>8</v>
      </c>
      <c r="M54" s="675">
        <f>5334.04*L54^-0.1125</f>
        <v>4221.4207894793226</v>
      </c>
    </row>
    <row r="55" spans="1:16" x14ac:dyDescent="0.25">
      <c r="A55" s="595" t="s">
        <v>212</v>
      </c>
      <c r="E55" s="985"/>
      <c r="K55" s="674">
        <v>10</v>
      </c>
      <c r="L55" s="674">
        <f>K55*$E$28</f>
        <v>80</v>
      </c>
      <c r="M55" s="675">
        <f t="shared" ref="M55:M56" si="12">5334.04*L55^-0.1125</f>
        <v>3258.056749034326</v>
      </c>
    </row>
    <row r="56" spans="1:16" x14ac:dyDescent="0.25">
      <c r="A56" s="986" t="s">
        <v>513</v>
      </c>
      <c r="B56" s="986" t="s">
        <v>514</v>
      </c>
      <c r="K56" s="674">
        <v>50</v>
      </c>
      <c r="L56" s="674">
        <f>K56*$E$28</f>
        <v>400</v>
      </c>
      <c r="M56" s="675">
        <f t="shared" si="12"/>
        <v>2718.469840151914</v>
      </c>
      <c r="N56" s="951"/>
    </row>
    <row r="57" spans="1:16" x14ac:dyDescent="0.25">
      <c r="A57" s="986" t="s">
        <v>515</v>
      </c>
      <c r="B57" s="986" t="s">
        <v>976</v>
      </c>
      <c r="K57" s="674">
        <v>100</v>
      </c>
      <c r="L57" s="674">
        <f>K57*$E$28</f>
        <v>800</v>
      </c>
      <c r="M57" s="675">
        <f>5334.04*L57^-0.1125</f>
        <v>2514.5405561991806</v>
      </c>
      <c r="N57" s="951"/>
    </row>
    <row r="58" spans="1:16" x14ac:dyDescent="0.25">
      <c r="A58" s="986" t="s">
        <v>735</v>
      </c>
      <c r="B58" s="986" t="s">
        <v>736</v>
      </c>
      <c r="M58" s="28"/>
      <c r="N58" s="28"/>
    </row>
    <row r="59" spans="1:16" x14ac:dyDescent="0.25">
      <c r="A59" s="986" t="s">
        <v>21</v>
      </c>
      <c r="B59" s="986" t="s">
        <v>978</v>
      </c>
      <c r="K59" s="1037" t="s">
        <v>887</v>
      </c>
      <c r="L59" s="1038"/>
      <c r="M59" s="1039"/>
      <c r="N59" s="1039"/>
      <c r="O59" s="391" t="s">
        <v>924</v>
      </c>
    </row>
    <row r="60" spans="1:16" x14ac:dyDescent="0.25">
      <c r="A60" s="610" t="s">
        <v>23</v>
      </c>
      <c r="B60" s="610" t="s">
        <v>284</v>
      </c>
      <c r="K60" s="1040" t="s">
        <v>888</v>
      </c>
      <c r="L60" s="1041" t="s">
        <v>934</v>
      </c>
      <c r="M60" s="1042" t="s">
        <v>932</v>
      </c>
      <c r="N60" s="1042" t="s">
        <v>933</v>
      </c>
      <c r="O60" s="938" t="s">
        <v>925</v>
      </c>
    </row>
    <row r="61" spans="1:16" x14ac:dyDescent="0.25">
      <c r="A61" s="610" t="s">
        <v>24</v>
      </c>
      <c r="B61" s="610" t="s">
        <v>284</v>
      </c>
      <c r="K61" s="1009">
        <v>1</v>
      </c>
      <c r="L61" s="1010">
        <v>60</v>
      </c>
      <c r="M61" s="1043">
        <v>130</v>
      </c>
      <c r="N61" s="1010">
        <v>270</v>
      </c>
    </row>
    <row r="62" spans="1:16" x14ac:dyDescent="0.25">
      <c r="K62" s="1009">
        <v>5</v>
      </c>
      <c r="L62" s="1010">
        <v>300</v>
      </c>
      <c r="M62" s="1043">
        <v>620</v>
      </c>
      <c r="N62" s="1010">
        <v>1400</v>
      </c>
    </row>
    <row r="63" spans="1:16" x14ac:dyDescent="0.25">
      <c r="K63" s="1009">
        <v>10</v>
      </c>
      <c r="L63" s="1010">
        <v>600</v>
      </c>
      <c r="M63" s="1043">
        <v>1230</v>
      </c>
      <c r="N63" s="1010">
        <v>2600</v>
      </c>
    </row>
    <row r="64" spans="1:16" x14ac:dyDescent="0.25">
      <c r="K64" s="1009">
        <v>20</v>
      </c>
      <c r="L64" s="1010">
        <v>1200</v>
      </c>
      <c r="M64" s="1043">
        <v>2500</v>
      </c>
      <c r="N64" s="1010">
        <v>5000</v>
      </c>
    </row>
    <row r="65" spans="11:25" x14ac:dyDescent="0.25">
      <c r="L65" s="924"/>
      <c r="M65" s="924"/>
      <c r="N65" s="924"/>
    </row>
    <row r="66" spans="11:25" x14ac:dyDescent="0.25">
      <c r="K66" s="1036" t="s">
        <v>926</v>
      </c>
      <c r="L66" s="1035" t="s">
        <v>927</v>
      </c>
      <c r="M66" s="1035"/>
      <c r="N66" s="947"/>
    </row>
    <row r="67" spans="11:25" x14ac:dyDescent="0.25">
      <c r="K67" s="1030">
        <v>630</v>
      </c>
      <c r="L67" s="1031">
        <f>(K67-7.5)/125</f>
        <v>4.9800000000000004</v>
      </c>
      <c r="M67" s="775" t="s">
        <v>974</v>
      </c>
      <c r="N67" s="947"/>
    </row>
    <row r="68" spans="11:25" x14ac:dyDescent="0.25">
      <c r="K68" s="1033">
        <f>E22/(E28/4)</f>
        <v>3465.8511722731905</v>
      </c>
      <c r="L68" s="1034">
        <f>(K68-7.5)/(265)</f>
        <v>13.050381782162983</v>
      </c>
      <c r="M68" s="1035" t="s">
        <v>974</v>
      </c>
      <c r="N68" s="1032" t="s">
        <v>975</v>
      </c>
    </row>
    <row r="69" spans="11:25" x14ac:dyDescent="0.25">
      <c r="N69" s="986"/>
    </row>
    <row r="72" spans="11:25" x14ac:dyDescent="0.25">
      <c r="K72" s="78"/>
      <c r="L72" s="78"/>
      <c r="M72" s="78"/>
      <c r="N72" s="986"/>
      <c r="S72" s="608" t="s">
        <v>973</v>
      </c>
    </row>
    <row r="73" spans="11:25" x14ac:dyDescent="0.25">
      <c r="K73" s="78"/>
      <c r="L73" s="78"/>
      <c r="M73" s="78"/>
      <c r="N73" s="986"/>
      <c r="S73" s="1004" t="s">
        <v>947</v>
      </c>
      <c r="T73" s="1004"/>
      <c r="V73" s="1004" t="s">
        <v>948</v>
      </c>
      <c r="W73" s="1004"/>
      <c r="X73" s="1004"/>
      <c r="Y73" s="1004"/>
    </row>
    <row r="74" spans="11:25" x14ac:dyDescent="0.25">
      <c r="K74" s="78"/>
      <c r="L74" s="78"/>
      <c r="M74" s="78"/>
      <c r="N74" s="986"/>
      <c r="S74" s="1004" t="s">
        <v>945</v>
      </c>
      <c r="T74" s="1005" t="s">
        <v>185</v>
      </c>
      <c r="V74" s="1004" t="s">
        <v>949</v>
      </c>
      <c r="W74" s="1004" t="s">
        <v>942</v>
      </c>
      <c r="X74" s="1004" t="s">
        <v>950</v>
      </c>
      <c r="Y74" s="1004"/>
    </row>
    <row r="75" spans="11:25" x14ac:dyDescent="0.25">
      <c r="K75" s="78"/>
      <c r="L75" s="78"/>
      <c r="M75" s="78"/>
      <c r="N75" s="986"/>
      <c r="S75" s="1004">
        <v>1</v>
      </c>
      <c r="T75" s="1006">
        <f>L30</f>
        <v>70000</v>
      </c>
      <c r="V75" s="1004">
        <v>1</v>
      </c>
      <c r="W75" s="1004">
        <f>V75*$E$28</f>
        <v>8</v>
      </c>
      <c r="X75" s="1004">
        <f>58856.752*W75^-0.633982</f>
        <v>15749.018596835789</v>
      </c>
      <c r="Y75" s="1004">
        <f>IF(X75&lt;2600,2600,X75)</f>
        <v>15749.018596835789</v>
      </c>
    </row>
    <row r="76" spans="11:25" x14ac:dyDescent="0.25">
      <c r="K76" s="78"/>
      <c r="L76" s="78"/>
      <c r="M76" s="78"/>
      <c r="N76" s="986"/>
      <c r="S76" s="1004">
        <v>10</v>
      </c>
      <c r="T76" s="1006">
        <f>M30</f>
        <v>9860</v>
      </c>
      <c r="V76" s="1004">
        <v>10</v>
      </c>
      <c r="W76" s="1004">
        <f>V76*$E$28</f>
        <v>80</v>
      </c>
      <c r="X76" s="1004">
        <f t="shared" ref="X76:X78" si="13">58856.752*W76^-0.633982</f>
        <v>3658.2341181124921</v>
      </c>
      <c r="Y76" s="1004">
        <f t="shared" ref="Y76:Y78" si="14">IF(X76&lt;2600,2600,X76)</f>
        <v>3658.2341181124921</v>
      </c>
    </row>
    <row r="77" spans="11:25" x14ac:dyDescent="0.25">
      <c r="K77" s="78"/>
      <c r="L77" s="78"/>
      <c r="M77" s="78"/>
      <c r="N77" s="986"/>
      <c r="S77" s="1007">
        <v>50</v>
      </c>
      <c r="T77" s="1008">
        <f>N30</f>
        <v>4612</v>
      </c>
      <c r="V77" s="1004">
        <v>50</v>
      </c>
      <c r="W77" s="1004">
        <f>V77*$E$28</f>
        <v>400</v>
      </c>
      <c r="X77" s="1004">
        <f t="shared" si="13"/>
        <v>1318.6729407637413</v>
      </c>
      <c r="Y77" s="1004">
        <f t="shared" si="14"/>
        <v>2600</v>
      </c>
    </row>
    <row r="78" spans="11:25" x14ac:dyDescent="0.25">
      <c r="S78" s="1007">
        <v>100</v>
      </c>
      <c r="T78" s="1008">
        <f>O30</f>
        <v>3956</v>
      </c>
      <c r="V78" s="1004">
        <v>100</v>
      </c>
      <c r="W78" s="1004">
        <f>V78*$E$28</f>
        <v>800</v>
      </c>
      <c r="X78" s="1004">
        <f t="shared" si="13"/>
        <v>849.74671790730235</v>
      </c>
      <c r="Y78" s="1004">
        <f t="shared" si="14"/>
        <v>2600</v>
      </c>
    </row>
  </sheetData>
  <mergeCells count="1">
    <mergeCell ref="R14:W16"/>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V82"/>
  <sheetViews>
    <sheetView zoomScale="90" zoomScaleNormal="90" zoomScalePageLayoutView="125" workbookViewId="0">
      <selection activeCell="X33" sqref="X33"/>
    </sheetView>
  </sheetViews>
  <sheetFormatPr defaultColWidth="8.85546875" defaultRowHeight="15" x14ac:dyDescent="0.25"/>
  <cols>
    <col min="1" max="1" width="7.140625" style="8" customWidth="1"/>
    <col min="2" max="2" width="3.42578125" style="8" customWidth="1"/>
    <col min="3" max="3" width="7.140625" style="8" customWidth="1"/>
    <col min="4" max="4" width="40.7109375" style="8" bestFit="1" customWidth="1"/>
    <col min="5" max="5" width="15.140625" style="8" bestFit="1" customWidth="1"/>
    <col min="6" max="6" width="17.85546875" style="8" customWidth="1"/>
    <col min="7" max="7" width="18.42578125" style="8" customWidth="1"/>
    <col min="8" max="8" width="16.28515625" style="8" bestFit="1" customWidth="1"/>
    <col min="9" max="9" width="17.140625" style="8" bestFit="1" customWidth="1"/>
    <col min="10" max="10" width="12" style="8" customWidth="1"/>
    <col min="11" max="11" width="11.85546875" style="8" customWidth="1"/>
    <col min="12" max="12" width="12.85546875" style="8" customWidth="1"/>
    <col min="13" max="13" width="12.42578125" style="8" customWidth="1"/>
    <col min="14" max="14" width="8" style="8" customWidth="1"/>
    <col min="15" max="15" width="8.85546875" style="8" customWidth="1"/>
    <col min="16" max="16" width="9" customWidth="1"/>
    <col min="18" max="16384" width="8.85546875" style="8"/>
  </cols>
  <sheetData>
    <row r="1" spans="1:22" x14ac:dyDescent="0.25">
      <c r="A1" s="427" t="s">
        <v>366</v>
      </c>
      <c r="P1" s="8"/>
      <c r="Q1" s="8"/>
    </row>
    <row r="2" spans="1:22" x14ac:dyDescent="0.25">
      <c r="A2" s="11"/>
      <c r="K2" s="384"/>
      <c r="L2" s="384"/>
      <c r="M2" s="384"/>
      <c r="N2" s="384"/>
      <c r="O2" s="384"/>
      <c r="P2" s="384"/>
      <c r="Q2" s="8"/>
    </row>
    <row r="3" spans="1:22" x14ac:dyDescent="0.25">
      <c r="A3" s="9" t="s">
        <v>109</v>
      </c>
      <c r="E3" s="8">
        <v>1</v>
      </c>
      <c r="F3" s="8">
        <v>10</v>
      </c>
      <c r="G3" s="8">
        <v>50</v>
      </c>
      <c r="H3" s="8">
        <v>100</v>
      </c>
      <c r="I3" s="176" t="s">
        <v>110</v>
      </c>
      <c r="K3" s="637" t="s">
        <v>480</v>
      </c>
      <c r="L3" s="637"/>
      <c r="M3" s="638"/>
      <c r="N3" s="639"/>
      <c r="O3" s="639"/>
      <c r="P3" s="639"/>
      <c r="Q3" s="640"/>
    </row>
    <row r="4" spans="1:22" ht="18" x14ac:dyDescent="0.35">
      <c r="A4" s="11"/>
      <c r="B4" s="8" t="s">
        <v>27</v>
      </c>
      <c r="D4" s="8" t="str">
        <f>B13</f>
        <v>Surface Float</v>
      </c>
      <c r="E4" s="99">
        <f>F20</f>
        <v>894241.14540025499</v>
      </c>
      <c r="F4" s="99">
        <f>G20*10</f>
        <v>6220786.6200600797</v>
      </c>
      <c r="G4" s="99">
        <f>H20*50</f>
        <v>27374083.799353056</v>
      </c>
      <c r="H4" s="99">
        <f>I20*100</f>
        <v>53048701.14896699</v>
      </c>
      <c r="I4" s="55">
        <f>E22</f>
        <v>205.44</v>
      </c>
      <c r="K4" s="628" t="s">
        <v>485</v>
      </c>
      <c r="L4" s="627"/>
      <c r="M4" s="628"/>
      <c r="N4" s="634"/>
      <c r="O4" s="634"/>
      <c r="P4" s="634"/>
      <c r="Q4" s="633"/>
    </row>
    <row r="5" spans="1:22" x14ac:dyDescent="0.25">
      <c r="A5" s="11"/>
      <c r="B5" s="8" t="s">
        <v>28</v>
      </c>
      <c r="D5" s="64" t="str">
        <f>B26</f>
        <v>Vertical Column</v>
      </c>
      <c r="E5" s="99">
        <f>F33</f>
        <v>921357.27921035211</v>
      </c>
      <c r="F5" s="99">
        <f>G33*10</f>
        <v>6544935.4409701042</v>
      </c>
      <c r="G5" s="99">
        <f>H33*50</f>
        <v>29155570.072405908</v>
      </c>
      <c r="H5" s="99">
        <f>I33*100</f>
        <v>56827841.047422305</v>
      </c>
      <c r="I5" s="55">
        <f>E35</f>
        <v>223.64</v>
      </c>
      <c r="K5" s="635" t="s">
        <v>483</v>
      </c>
      <c r="L5" s="627"/>
      <c r="M5" s="628"/>
      <c r="N5" s="634"/>
      <c r="O5" s="634"/>
      <c r="P5" s="634"/>
      <c r="Q5" s="633"/>
    </row>
    <row r="6" spans="1:22" ht="18.75" x14ac:dyDescent="0.35">
      <c r="A6" s="11"/>
      <c r="B6" s="8" t="s">
        <v>29</v>
      </c>
      <c r="D6" s="64" t="str">
        <f>B38</f>
        <v>Reaction Plate</v>
      </c>
      <c r="E6" s="99">
        <f>F45</f>
        <v>1065825.467495176</v>
      </c>
      <c r="F6" s="99">
        <f>G45*10</f>
        <v>7503582.0533749359</v>
      </c>
      <c r="G6" s="99">
        <f>H45*50</f>
        <v>33223658.909539465</v>
      </c>
      <c r="H6" s="99">
        <f>I45*100</f>
        <v>64567902.954623803</v>
      </c>
      <c r="I6" s="55">
        <f>E47</f>
        <v>244.73</v>
      </c>
      <c r="K6" s="627" t="s">
        <v>488</v>
      </c>
      <c r="L6" s="627"/>
      <c r="M6" s="627" t="s">
        <v>486</v>
      </c>
      <c r="N6" s="627" t="s">
        <v>490</v>
      </c>
      <c r="O6" s="634"/>
      <c r="P6" s="627" t="s">
        <v>489</v>
      </c>
      <c r="Q6" s="633"/>
    </row>
    <row r="7" spans="1:22" x14ac:dyDescent="0.25">
      <c r="A7" s="11"/>
      <c r="B7" s="8" t="s">
        <v>30</v>
      </c>
      <c r="D7" s="64" t="str">
        <f>B50</f>
        <v>Device Access (Railings, Ladders, etc)</v>
      </c>
      <c r="E7" s="104">
        <f>F55</f>
        <v>57628.477842115666</v>
      </c>
      <c r="F7" s="99">
        <f>G55*10</f>
        <v>405386.08228810242</v>
      </c>
      <c r="G7" s="99">
        <f>H55*50</f>
        <v>1795066.2556259686</v>
      </c>
      <c r="H7" s="99">
        <f>I55*100</f>
        <v>3488888.9030202618</v>
      </c>
      <c r="I7" s="55">
        <f>E57</f>
        <v>13.476199999999999</v>
      </c>
      <c r="K7" s="628" t="s">
        <v>484</v>
      </c>
      <c r="L7" s="628"/>
      <c r="M7" s="628"/>
      <c r="N7" s="634"/>
      <c r="O7" s="634"/>
      <c r="P7" s="634"/>
      <c r="Q7" s="633"/>
    </row>
    <row r="8" spans="1:22" x14ac:dyDescent="0.25">
      <c r="A8" s="11"/>
      <c r="E8" s="99"/>
      <c r="F8" s="99"/>
      <c r="G8" s="99"/>
      <c r="H8" s="99"/>
      <c r="K8" s="636" t="s">
        <v>479</v>
      </c>
      <c r="L8" s="629"/>
      <c r="M8" s="628"/>
      <c r="N8" s="634"/>
      <c r="O8" s="634"/>
      <c r="P8" s="634"/>
      <c r="Q8" s="633"/>
    </row>
    <row r="9" spans="1:22" x14ac:dyDescent="0.25">
      <c r="A9" s="11"/>
      <c r="C9" s="16" t="s">
        <v>80</v>
      </c>
      <c r="D9" s="16"/>
      <c r="E9" s="101">
        <f>SUM(E4:E7)</f>
        <v>2939052.3699478991</v>
      </c>
      <c r="F9" s="101">
        <f>SUM(F4:F7)</f>
        <v>20674690.196693219</v>
      </c>
      <c r="G9" s="101">
        <f>SUM(G4:G7)</f>
        <v>91548379.036924392</v>
      </c>
      <c r="H9" s="101">
        <f>SUM(H4:H7)</f>
        <v>177933334.05403334</v>
      </c>
      <c r="I9" s="18">
        <f>SUM(I4:I7)</f>
        <v>687.28619999999989</v>
      </c>
      <c r="K9" s="628"/>
      <c r="L9" s="628"/>
      <c r="M9" s="628" t="s">
        <v>491</v>
      </c>
      <c r="N9" s="634"/>
      <c r="O9" s="634"/>
      <c r="P9" s="634"/>
      <c r="Q9" s="633"/>
      <c r="R9" s="426"/>
      <c r="S9" s="426"/>
      <c r="T9" s="426"/>
      <c r="U9" s="426"/>
      <c r="V9" s="426"/>
    </row>
    <row r="10" spans="1:22" x14ac:dyDescent="0.25">
      <c r="B10" s="11"/>
      <c r="E10" s="62">
        <f>(E9/$I$9)/E3</f>
        <v>4276.3151216304059</v>
      </c>
      <c r="F10" s="408">
        <f t="shared" ref="F10:H10" si="0">(F9/$I$9)/F3</f>
        <v>3008.1631490190293</v>
      </c>
      <c r="G10" s="408">
        <f t="shared" si="0"/>
        <v>2664.0540443537029</v>
      </c>
      <c r="H10" s="408">
        <f t="shared" si="0"/>
        <v>2588.9263316218685</v>
      </c>
      <c r="K10" s="622"/>
      <c r="L10" s="622"/>
      <c r="M10" s="622"/>
      <c r="N10" s="622"/>
      <c r="O10" s="622"/>
      <c r="P10" s="622"/>
      <c r="Q10" s="479"/>
      <c r="R10" s="479"/>
      <c r="S10" s="479"/>
      <c r="T10" s="479"/>
      <c r="U10" s="479"/>
      <c r="V10" s="426"/>
    </row>
    <row r="11" spans="1:22" x14ac:dyDescent="0.25">
      <c r="F11" s="63"/>
      <c r="G11" s="63"/>
      <c r="K11" s="622"/>
      <c r="L11" s="622"/>
      <c r="M11" s="622"/>
      <c r="N11" s="622"/>
      <c r="O11" s="622"/>
      <c r="P11" s="622"/>
      <c r="Q11" s="479"/>
      <c r="R11" s="479"/>
      <c r="S11" s="479"/>
      <c r="T11" s="479"/>
      <c r="U11" s="479"/>
      <c r="V11" s="426"/>
    </row>
    <row r="12" spans="1:22" s="12" customFormat="1" x14ac:dyDescent="0.25">
      <c r="C12" s="27"/>
      <c r="F12" s="24"/>
      <c r="G12" s="24"/>
      <c r="H12" s="24"/>
      <c r="I12" s="26"/>
      <c r="J12" s="24"/>
      <c r="K12" s="623"/>
      <c r="L12" s="624"/>
      <c r="M12" s="625"/>
      <c r="N12" s="622"/>
      <c r="O12" s="622"/>
      <c r="P12" s="622"/>
      <c r="Q12" s="479"/>
      <c r="R12" s="479"/>
      <c r="S12" s="479"/>
      <c r="T12" s="479"/>
      <c r="U12" s="479"/>
      <c r="V12" s="426"/>
    </row>
    <row r="13" spans="1:22" s="12" customFormat="1" ht="30.75" thickBot="1" x14ac:dyDescent="0.3">
      <c r="A13" s="29" t="s">
        <v>27</v>
      </c>
      <c r="B13" s="29" t="s">
        <v>249</v>
      </c>
      <c r="K13" s="642" t="s">
        <v>482</v>
      </c>
      <c r="L13" s="646" t="s">
        <v>492</v>
      </c>
      <c r="N13" s="630" t="s">
        <v>481</v>
      </c>
      <c r="O13" s="626"/>
      <c r="P13" s="626"/>
      <c r="Q13" s="479"/>
      <c r="R13" s="479"/>
      <c r="S13" s="479"/>
      <c r="T13" s="479"/>
      <c r="U13" s="479"/>
      <c r="V13" s="426"/>
    </row>
    <row r="14" spans="1:22" ht="36.75" thickTop="1" x14ac:dyDescent="0.35">
      <c r="F14" s="79" t="s">
        <v>84</v>
      </c>
      <c r="G14" s="79" t="s">
        <v>106</v>
      </c>
      <c r="H14" s="79" t="s">
        <v>108</v>
      </c>
      <c r="I14" s="79" t="s">
        <v>107</v>
      </c>
      <c r="K14" s="641" t="s">
        <v>487</v>
      </c>
      <c r="L14" s="644" t="s">
        <v>493</v>
      </c>
      <c r="N14" s="631" t="s">
        <v>475</v>
      </c>
      <c r="O14" s="632" t="s">
        <v>476</v>
      </c>
      <c r="P14" s="632" t="s">
        <v>477</v>
      </c>
      <c r="Q14" s="479"/>
      <c r="R14" s="479"/>
      <c r="S14" s="479"/>
      <c r="T14" s="479"/>
      <c r="U14" s="479"/>
      <c r="V14" s="426"/>
    </row>
    <row r="15" spans="1:22" x14ac:dyDescent="0.25">
      <c r="C15" s="8" t="s">
        <v>129</v>
      </c>
      <c r="F15" s="597">
        <v>440328.23313186696</v>
      </c>
      <c r="G15" s="603">
        <v>371343.60666105297</v>
      </c>
      <c r="H15" s="603">
        <v>352262.58650549361</v>
      </c>
      <c r="I15" s="603">
        <v>352262.58650549361</v>
      </c>
      <c r="J15" s="14"/>
      <c r="K15" s="645">
        <f>I15/H15</f>
        <v>1</v>
      </c>
      <c r="L15" s="643">
        <f>1-K15</f>
        <v>0</v>
      </c>
      <c r="N15" s="616">
        <f t="shared" ref="N15:P18" si="1">(G15-F15)/F15</f>
        <v>-0.15666637131159128</v>
      </c>
      <c r="O15" s="616">
        <f t="shared" si="1"/>
        <v>-5.1383731437109982E-2</v>
      </c>
      <c r="P15" s="616">
        <f t="shared" si="1"/>
        <v>0</v>
      </c>
      <c r="Q15" s="479"/>
      <c r="R15" s="479"/>
      <c r="S15" s="479"/>
      <c r="T15" s="479"/>
      <c r="U15" s="479"/>
      <c r="V15" s="426"/>
    </row>
    <row r="16" spans="1:22" x14ac:dyDescent="0.25">
      <c r="C16" s="8" t="s">
        <v>130</v>
      </c>
      <c r="F16" s="597">
        <v>259506.7383354773</v>
      </c>
      <c r="G16" s="603">
        <v>182871.29727293825</v>
      </c>
      <c r="H16" s="603">
        <v>143185.79754117693</v>
      </c>
      <c r="I16" s="603">
        <v>128867.21778705923</v>
      </c>
      <c r="J16" s="14"/>
      <c r="K16" s="645">
        <f t="shared" ref="K16:K18" si="2">I16/H16</f>
        <v>0.89999999999999991</v>
      </c>
      <c r="L16" s="643">
        <f t="shared" ref="L16:L18" si="3">1-K16</f>
        <v>0.10000000000000009</v>
      </c>
      <c r="N16" s="616">
        <f t="shared" si="1"/>
        <v>-0.29531195048765402</v>
      </c>
      <c r="O16" s="616">
        <f t="shared" si="1"/>
        <v>-0.21701327831961564</v>
      </c>
      <c r="P16" s="616">
        <f t="shared" si="1"/>
        <v>-0.10000000000000006</v>
      </c>
      <c r="Q16" s="479"/>
      <c r="R16" s="479"/>
      <c r="S16" s="479"/>
      <c r="T16" s="479"/>
      <c r="U16" s="479"/>
      <c r="V16" s="426"/>
    </row>
    <row r="17" spans="1:22" s="68" customFormat="1" x14ac:dyDescent="0.25">
      <c r="C17" s="68" t="s">
        <v>153</v>
      </c>
      <c r="F17" s="597">
        <v>113111.52435106934</v>
      </c>
      <c r="G17" s="597">
        <v>11311.152435106933</v>
      </c>
      <c r="H17" s="597">
        <v>2262.2304870213866</v>
      </c>
      <c r="I17" s="597">
        <v>1131.1152435106933</v>
      </c>
      <c r="J17" s="39"/>
      <c r="K17" s="645">
        <f t="shared" si="2"/>
        <v>0.5</v>
      </c>
      <c r="L17" s="643">
        <f t="shared" si="3"/>
        <v>0.5</v>
      </c>
      <c r="N17" s="616">
        <f t="shared" si="1"/>
        <v>-0.89999999999999991</v>
      </c>
      <c r="O17" s="616">
        <f t="shared" si="1"/>
        <v>-0.8</v>
      </c>
      <c r="P17" s="616">
        <f t="shared" si="1"/>
        <v>-0.5</v>
      </c>
      <c r="Q17" s="423"/>
      <c r="R17" s="423"/>
      <c r="S17" s="423"/>
      <c r="T17" s="423"/>
      <c r="U17" s="479"/>
      <c r="V17" s="426"/>
    </row>
    <row r="18" spans="1:22" x14ac:dyDescent="0.25">
      <c r="C18" s="13" t="s">
        <v>111</v>
      </c>
      <c r="D18" s="12"/>
      <c r="E18" s="12"/>
      <c r="F18" s="597">
        <v>81294.649581841368</v>
      </c>
      <c r="G18" s="597">
        <v>56552.605636909815</v>
      </c>
      <c r="H18" s="597">
        <v>49771.061453369191</v>
      </c>
      <c r="I18" s="597">
        <v>48226.091953606359</v>
      </c>
      <c r="J18" s="14"/>
      <c r="K18" s="645">
        <f t="shared" si="2"/>
        <v>0.96895847798604173</v>
      </c>
      <c r="L18" s="643">
        <f t="shared" si="3"/>
        <v>3.1041522013958267E-2</v>
      </c>
      <c r="N18" s="616">
        <f t="shared" si="1"/>
        <v>-0.30435021335596157</v>
      </c>
      <c r="O18" s="616">
        <f t="shared" si="1"/>
        <v>-0.119915680403496</v>
      </c>
      <c r="P18" s="616">
        <f t="shared" si="1"/>
        <v>-3.1041522013958319E-2</v>
      </c>
      <c r="Q18" s="479"/>
      <c r="R18" s="479"/>
      <c r="S18" s="479"/>
      <c r="T18" s="479"/>
      <c r="U18" s="479"/>
      <c r="V18" s="426"/>
    </row>
    <row r="19" spans="1:22" s="68" customFormat="1" x14ac:dyDescent="0.25">
      <c r="C19" s="60"/>
      <c r="D19" s="65"/>
      <c r="E19" s="65"/>
      <c r="F19" s="295"/>
      <c r="G19" s="295"/>
      <c r="H19" s="295"/>
      <c r="I19" s="295"/>
      <c r="J19" s="39"/>
      <c r="L19" s="479"/>
      <c r="N19" s="616"/>
      <c r="O19" s="616"/>
      <c r="P19" s="616"/>
      <c r="Q19" s="479"/>
      <c r="R19" s="479"/>
      <c r="S19" s="479"/>
      <c r="T19" s="479"/>
      <c r="U19" s="479"/>
      <c r="V19" s="426"/>
    </row>
    <row r="20" spans="1:22" s="58" customFormat="1" x14ac:dyDescent="0.25">
      <c r="C20" s="103" t="s">
        <v>80</v>
      </c>
      <c r="D20" s="22"/>
      <c r="E20" s="22"/>
      <c r="F20" s="282">
        <f>SUM(F15:F18)</f>
        <v>894241.14540025499</v>
      </c>
      <c r="G20" s="282">
        <f>SUM(G15:G18)</f>
        <v>622078.66200600797</v>
      </c>
      <c r="H20" s="282">
        <f>SUM(H15:H18)</f>
        <v>547481.67598706111</v>
      </c>
      <c r="I20" s="282">
        <f>SUM(I15:I18)</f>
        <v>530487.01148966991</v>
      </c>
      <c r="J20" s="102"/>
      <c r="N20" s="616">
        <f>(G20-F20)/F20</f>
        <v>-0.30435021335596152</v>
      </c>
      <c r="O20" s="616">
        <f>(H20-G20)/G20</f>
        <v>-0.119915680403496</v>
      </c>
      <c r="P20" s="616">
        <f>(I20-H20)/H20</f>
        <v>-3.1041522013958413E-2</v>
      </c>
      <c r="Q20" s="482"/>
      <c r="R20" s="482"/>
      <c r="S20" s="482"/>
      <c r="T20" s="482"/>
      <c r="U20" s="482"/>
      <c r="V20" s="406"/>
    </row>
    <row r="21" spans="1:22" ht="14.45" x14ac:dyDescent="0.3">
      <c r="C21" s="402" t="s">
        <v>185</v>
      </c>
      <c r="D21" s="12"/>
      <c r="E21" s="12"/>
      <c r="F21" s="23">
        <f>F20/$E$22</f>
        <v>4352.8093136694652</v>
      </c>
      <c r="G21" s="23">
        <f t="shared" ref="G21:I21" si="4">G20/$E$22</f>
        <v>3028.0308703563474</v>
      </c>
      <c r="H21" s="23">
        <f t="shared" si="4"/>
        <v>2664.9224882547755</v>
      </c>
      <c r="I21" s="23">
        <f t="shared" si="4"/>
        <v>2582.199238170122</v>
      </c>
      <c r="J21" s="14"/>
      <c r="N21" s="479"/>
      <c r="O21" s="479"/>
      <c r="P21" s="479"/>
      <c r="Q21" s="479"/>
      <c r="R21" s="479"/>
      <c r="S21" s="479"/>
      <c r="T21" s="479"/>
      <c r="U21" s="479"/>
      <c r="V21" s="426"/>
    </row>
    <row r="22" spans="1:22" ht="14.45" x14ac:dyDescent="0.3">
      <c r="C22" s="13" t="s">
        <v>112</v>
      </c>
      <c r="D22" s="12"/>
      <c r="E22" s="23">
        <v>205.44</v>
      </c>
      <c r="F22" s="30" t="s">
        <v>152</v>
      </c>
      <c r="G22" s="25"/>
      <c r="H22" s="25"/>
      <c r="I22" s="25"/>
      <c r="J22" s="14"/>
      <c r="N22" s="479"/>
      <c r="O22" s="479"/>
      <c r="P22" s="479"/>
      <c r="Q22" s="479"/>
      <c r="R22" s="479"/>
      <c r="S22" s="479"/>
      <c r="T22" s="479"/>
      <c r="U22" s="479"/>
      <c r="V22" s="426"/>
    </row>
    <row r="23" spans="1:22" ht="14.45" x14ac:dyDescent="0.3">
      <c r="C23" s="13"/>
      <c r="F23" s="32"/>
      <c r="N23" s="479"/>
      <c r="O23" s="479"/>
      <c r="P23" s="479"/>
      <c r="Q23" s="479"/>
      <c r="R23" s="479"/>
      <c r="S23" s="479"/>
      <c r="T23" s="479"/>
      <c r="U23" s="479"/>
      <c r="V23" s="426"/>
    </row>
    <row r="24" spans="1:22" ht="14.45" x14ac:dyDescent="0.3">
      <c r="C24" s="13"/>
      <c r="N24" s="479"/>
      <c r="O24" s="479"/>
      <c r="P24" s="479"/>
      <c r="Q24" s="479"/>
      <c r="R24" s="479"/>
      <c r="S24" s="479"/>
      <c r="T24" s="479"/>
      <c r="U24" s="479"/>
      <c r="V24" s="426"/>
    </row>
    <row r="25" spans="1:22" ht="14.45" x14ac:dyDescent="0.3">
      <c r="N25" s="479"/>
      <c r="O25" s="479"/>
      <c r="P25" s="479"/>
      <c r="Q25" s="479"/>
      <c r="R25" s="479"/>
      <c r="S25" s="479"/>
      <c r="T25" s="479"/>
      <c r="U25" s="479"/>
      <c r="V25" s="426"/>
    </row>
    <row r="26" spans="1:22" ht="14.45" x14ac:dyDescent="0.3">
      <c r="A26" s="9" t="s">
        <v>28</v>
      </c>
      <c r="B26" s="29" t="s">
        <v>250</v>
      </c>
      <c r="N26" s="479"/>
      <c r="O26" s="479"/>
      <c r="P26" s="479"/>
      <c r="Q26" s="479"/>
      <c r="R26" s="479"/>
      <c r="S26" s="479"/>
      <c r="T26" s="479"/>
      <c r="U26" s="479"/>
      <c r="V26" s="426"/>
    </row>
    <row r="27" spans="1:22" ht="14.45" x14ac:dyDescent="0.3">
      <c r="F27" s="79" t="s">
        <v>84</v>
      </c>
      <c r="G27" s="79" t="s">
        <v>106</v>
      </c>
      <c r="H27" s="79" t="s">
        <v>108</v>
      </c>
      <c r="I27" s="79" t="s">
        <v>107</v>
      </c>
      <c r="N27" s="617" t="s">
        <v>475</v>
      </c>
      <c r="O27" s="618" t="s">
        <v>476</v>
      </c>
      <c r="P27" s="618" t="s">
        <v>477</v>
      </c>
      <c r="Q27" s="479"/>
      <c r="R27" s="479"/>
      <c r="S27" s="479"/>
      <c r="T27" s="479"/>
      <c r="U27" s="479"/>
      <c r="V27" s="426"/>
    </row>
    <row r="28" spans="1:22" ht="14.45" x14ac:dyDescent="0.3">
      <c r="C28" s="8" t="s">
        <v>131</v>
      </c>
      <c r="F28" s="597">
        <v>504860.14534152613</v>
      </c>
      <c r="G28" s="603">
        <v>425765.53835102671</v>
      </c>
      <c r="H28" s="603">
        <v>403888.11627322092</v>
      </c>
      <c r="I28" s="603">
        <v>403888.11627322092</v>
      </c>
      <c r="J28" s="14"/>
      <c r="K28" s="645">
        <f>I28/H28</f>
        <v>1</v>
      </c>
      <c r="L28" s="643">
        <f>1-K28</f>
        <v>0</v>
      </c>
      <c r="N28" s="616">
        <f t="shared" ref="N28:P31" si="5">(G28-F28)/F28</f>
        <v>-0.15666637131159117</v>
      </c>
      <c r="O28" s="616">
        <f t="shared" si="5"/>
        <v>-5.1383731437110183E-2</v>
      </c>
      <c r="P28" s="616">
        <f t="shared" si="5"/>
        <v>0</v>
      </c>
      <c r="Q28" s="479"/>
      <c r="R28" s="479"/>
      <c r="S28" s="479"/>
      <c r="T28" s="479"/>
      <c r="U28" s="479"/>
      <c r="V28" s="426"/>
    </row>
    <row r="29" spans="1:22" ht="15.75" customHeight="1" x14ac:dyDescent="0.3">
      <c r="C29" s="8" t="s">
        <v>130</v>
      </c>
      <c r="F29" s="597">
        <v>224834.69722043158</v>
      </c>
      <c r="G29" s="603">
        <v>158438.3242469648</v>
      </c>
      <c r="H29" s="603">
        <v>124055.10409066474</v>
      </c>
      <c r="I29" s="603">
        <v>111649.59368159824</v>
      </c>
      <c r="J29" s="14"/>
      <c r="K29" s="645">
        <f t="shared" ref="K29:K31" si="6">I29/H29</f>
        <v>0.8999999999999998</v>
      </c>
      <c r="L29" s="643">
        <f t="shared" ref="L29:L31" si="7">1-K29</f>
        <v>0.1000000000000002</v>
      </c>
      <c r="N29" s="616">
        <f t="shared" si="5"/>
        <v>-0.29531195048765407</v>
      </c>
      <c r="O29" s="616">
        <f t="shared" si="5"/>
        <v>-0.2170132783196155</v>
      </c>
      <c r="P29" s="616">
        <f t="shared" si="5"/>
        <v>-0.10000000000000019</v>
      </c>
      <c r="Q29" s="423"/>
      <c r="R29" s="423"/>
      <c r="S29" s="423"/>
      <c r="T29" s="423"/>
      <c r="U29" s="479"/>
      <c r="V29" s="426"/>
    </row>
    <row r="30" spans="1:22" s="68" customFormat="1" ht="15.75" customHeight="1" x14ac:dyDescent="0.3">
      <c r="C30" s="68" t="s">
        <v>154</v>
      </c>
      <c r="F30" s="597">
        <v>107902.68399290793</v>
      </c>
      <c r="G30" s="597">
        <v>10790.268399290793</v>
      </c>
      <c r="H30" s="597">
        <v>2158.0536798581588</v>
      </c>
      <c r="I30" s="597">
        <v>1079.0268399290794</v>
      </c>
      <c r="J30" s="39"/>
      <c r="K30" s="645">
        <f t="shared" si="6"/>
        <v>0.5</v>
      </c>
      <c r="L30" s="643">
        <f t="shared" si="7"/>
        <v>0.5</v>
      </c>
      <c r="N30" s="616">
        <f t="shared" si="5"/>
        <v>-0.89999999999999991</v>
      </c>
      <c r="O30" s="616">
        <f t="shared" si="5"/>
        <v>-0.8</v>
      </c>
      <c r="P30" s="616">
        <f t="shared" si="5"/>
        <v>-0.5</v>
      </c>
      <c r="Q30" s="423"/>
      <c r="R30" s="423"/>
      <c r="S30" s="423"/>
      <c r="T30" s="423"/>
      <c r="U30" s="479"/>
      <c r="V30" s="426"/>
    </row>
    <row r="31" spans="1:22" ht="14.45" x14ac:dyDescent="0.3">
      <c r="C31" s="8" t="s">
        <v>111</v>
      </c>
      <c r="F31" s="597">
        <v>83759.752655486562</v>
      </c>
      <c r="G31" s="597">
        <v>59499.413099728226</v>
      </c>
      <c r="H31" s="597">
        <v>53010.127404374376</v>
      </c>
      <c r="I31" s="597">
        <v>51661.673679474829</v>
      </c>
      <c r="J31" s="14"/>
      <c r="K31" s="645">
        <f t="shared" si="6"/>
        <v>0.97456233759611233</v>
      </c>
      <c r="L31" s="643">
        <f t="shared" si="7"/>
        <v>2.5437662403887673E-2</v>
      </c>
      <c r="N31" s="616">
        <f t="shared" si="5"/>
        <v>-0.28964196749176047</v>
      </c>
      <c r="O31" s="616">
        <f t="shared" si="5"/>
        <v>-0.10906470093204149</v>
      </c>
      <c r="P31" s="616">
        <f t="shared" si="5"/>
        <v>-2.5437662403887631E-2</v>
      </c>
      <c r="Q31" s="479"/>
      <c r="R31" s="479"/>
      <c r="S31" s="479"/>
      <c r="T31" s="479"/>
      <c r="U31" s="479"/>
      <c r="V31" s="426"/>
    </row>
    <row r="32" spans="1:22" s="68" customFormat="1" ht="14.45" x14ac:dyDescent="0.3">
      <c r="F32" s="194"/>
      <c r="G32" s="194"/>
      <c r="H32" s="194"/>
      <c r="I32" s="194"/>
      <c r="J32" s="39"/>
      <c r="N32" s="616"/>
      <c r="O32" s="616"/>
      <c r="P32" s="616"/>
      <c r="Q32" s="479"/>
      <c r="R32" s="479"/>
      <c r="S32" s="479"/>
      <c r="T32" s="479"/>
      <c r="U32" s="479"/>
      <c r="V32" s="426"/>
    </row>
    <row r="33" spans="1:22" s="58" customFormat="1" ht="14.45" x14ac:dyDescent="0.3">
      <c r="C33" s="22" t="s">
        <v>80</v>
      </c>
      <c r="D33" s="22"/>
      <c r="E33" s="22"/>
      <c r="F33" s="105">
        <f>SUM(F28:F31)</f>
        <v>921357.27921035211</v>
      </c>
      <c r="G33" s="105">
        <f t="shared" ref="G33:I33" si="8">SUM(G28:G31)</f>
        <v>654493.5440970104</v>
      </c>
      <c r="H33" s="105">
        <f t="shared" si="8"/>
        <v>583111.40144811815</v>
      </c>
      <c r="I33" s="105">
        <f t="shared" si="8"/>
        <v>568278.41047422308</v>
      </c>
      <c r="J33" s="102"/>
      <c r="N33" s="616">
        <f>(G33-F33)/F33</f>
        <v>-0.28964196749176052</v>
      </c>
      <c r="O33" s="616">
        <f>(H33-G33)/G33</f>
        <v>-0.10906470093204133</v>
      </c>
      <c r="P33" s="616">
        <f>(I33-H33)/H33</f>
        <v>-2.5437662403887708E-2</v>
      </c>
      <c r="Q33" s="482"/>
      <c r="R33" s="482"/>
      <c r="S33" s="482"/>
      <c r="T33" s="482"/>
      <c r="U33" s="482"/>
      <c r="V33" s="406"/>
    </row>
    <row r="34" spans="1:22" s="68" customFormat="1" ht="14.45" x14ac:dyDescent="0.3">
      <c r="C34" s="27" t="s">
        <v>185</v>
      </c>
      <c r="F34" s="173">
        <f>F33/$E$35</f>
        <v>4119.8232838953327</v>
      </c>
      <c r="G34" s="173">
        <f>G33/$E$35</f>
        <v>2926.5495622295225</v>
      </c>
      <c r="H34" s="464">
        <f t="shared" ref="H34:I34" si="9">H33/$E$35</f>
        <v>2607.3663094621634</v>
      </c>
      <c r="I34" s="464">
        <f t="shared" si="9"/>
        <v>2541.041005518794</v>
      </c>
      <c r="J34" s="39"/>
      <c r="N34" s="479"/>
      <c r="O34" s="479"/>
      <c r="P34" s="479"/>
      <c r="Q34" s="479"/>
      <c r="R34" s="479"/>
      <c r="S34" s="479"/>
      <c r="T34" s="479"/>
      <c r="U34" s="479"/>
      <c r="V34" s="426"/>
    </row>
    <row r="35" spans="1:22" ht="14.45" x14ac:dyDescent="0.3">
      <c r="C35" s="13" t="s">
        <v>112</v>
      </c>
      <c r="D35" s="12"/>
      <c r="E35" s="70">
        <v>223.64</v>
      </c>
      <c r="F35" s="24" t="s">
        <v>152</v>
      </c>
      <c r="G35" s="24"/>
      <c r="H35" s="24"/>
      <c r="I35" s="26"/>
      <c r="J35" s="14"/>
      <c r="N35" s="479"/>
      <c r="O35" s="479"/>
      <c r="P35" s="479"/>
      <c r="Q35" s="479"/>
      <c r="R35" s="479"/>
      <c r="S35" s="479"/>
      <c r="T35" s="479"/>
      <c r="U35" s="479"/>
      <c r="V35" s="426"/>
    </row>
    <row r="36" spans="1:22" ht="14.45" x14ac:dyDescent="0.3">
      <c r="C36" s="13"/>
      <c r="D36" s="12"/>
      <c r="E36" s="12"/>
      <c r="F36" s="31"/>
      <c r="G36" s="24"/>
      <c r="H36" s="24"/>
      <c r="I36" s="24"/>
      <c r="J36" s="14"/>
      <c r="N36" s="479"/>
      <c r="O36" s="479"/>
      <c r="P36" s="479"/>
      <c r="Q36" s="479"/>
      <c r="R36" s="479"/>
      <c r="S36" s="479"/>
      <c r="T36" s="479"/>
      <c r="U36" s="479"/>
      <c r="V36" s="426"/>
    </row>
    <row r="37" spans="1:22" ht="14.45" x14ac:dyDescent="0.3">
      <c r="N37" s="479"/>
      <c r="O37" s="479"/>
      <c r="P37" s="479"/>
      <c r="Q37" s="479"/>
      <c r="R37" s="479"/>
      <c r="S37" s="479"/>
      <c r="T37" s="479"/>
      <c r="U37" s="479"/>
      <c r="V37" s="426"/>
    </row>
    <row r="38" spans="1:22" ht="14.45" x14ac:dyDescent="0.3">
      <c r="A38" s="9" t="s">
        <v>29</v>
      </c>
      <c r="B38" s="29" t="s">
        <v>251</v>
      </c>
      <c r="N38" s="479"/>
      <c r="O38" s="479"/>
      <c r="P38" s="479"/>
      <c r="Q38" s="479"/>
      <c r="R38" s="479"/>
      <c r="S38" s="479"/>
      <c r="T38" s="479"/>
      <c r="U38" s="479"/>
      <c r="V38" s="426"/>
    </row>
    <row r="39" spans="1:22" ht="14.45" x14ac:dyDescent="0.3">
      <c r="F39" s="79" t="s">
        <v>84</v>
      </c>
      <c r="G39" s="79" t="s">
        <v>106</v>
      </c>
      <c r="H39" s="79" t="s">
        <v>108</v>
      </c>
      <c r="I39" s="79" t="s">
        <v>107</v>
      </c>
      <c r="N39" s="617" t="s">
        <v>475</v>
      </c>
      <c r="O39" s="618" t="s">
        <v>476</v>
      </c>
      <c r="P39" s="618" t="s">
        <v>477</v>
      </c>
      <c r="Q39" s="479"/>
      <c r="R39" s="479"/>
      <c r="S39" s="479"/>
      <c r="T39" s="479"/>
      <c r="U39" s="479"/>
      <c r="V39" s="426"/>
    </row>
    <row r="40" spans="1:22" ht="14.45" x14ac:dyDescent="0.3">
      <c r="C40" s="8" t="s">
        <v>129</v>
      </c>
      <c r="F40" s="597">
        <v>554330.91668245511</v>
      </c>
      <c r="G40" s="603">
        <v>467485.90345998685</v>
      </c>
      <c r="H40" s="603">
        <v>443464.73334596411</v>
      </c>
      <c r="I40" s="603">
        <v>443464.73334596411</v>
      </c>
      <c r="K40" s="645">
        <f>I40/H40</f>
        <v>1</v>
      </c>
      <c r="L40" s="643">
        <f>1-K40</f>
        <v>0</v>
      </c>
      <c r="N40" s="616">
        <f t="shared" ref="N40:P43" si="10">(G40-F40)/F40</f>
        <v>-0.15666637131159125</v>
      </c>
      <c r="O40" s="616">
        <f t="shared" si="10"/>
        <v>-5.1383731437110086E-2</v>
      </c>
      <c r="P40" s="616">
        <f t="shared" si="10"/>
        <v>0</v>
      </c>
      <c r="Q40" s="479"/>
      <c r="R40" s="479"/>
      <c r="S40" s="479"/>
      <c r="T40" s="479"/>
      <c r="U40" s="479"/>
      <c r="V40" s="426"/>
    </row>
    <row r="41" spans="1:22" ht="14.45" x14ac:dyDescent="0.3">
      <c r="C41" s="8" t="s">
        <v>130</v>
      </c>
      <c r="F41" s="597">
        <v>286425.02041222213</v>
      </c>
      <c r="G41" s="603">
        <v>201840.28896582269</v>
      </c>
      <c r="H41" s="603">
        <v>158038.26616037099</v>
      </c>
      <c r="I41" s="603">
        <v>142234.43954433387</v>
      </c>
      <c r="K41" s="645">
        <f t="shared" ref="K41:K43" si="11">I41/H41</f>
        <v>0.89999999999999991</v>
      </c>
      <c r="L41" s="643">
        <f t="shared" ref="L41:L43" si="12">1-K41</f>
        <v>0.10000000000000009</v>
      </c>
      <c r="N41" s="616">
        <f t="shared" si="10"/>
        <v>-0.29531195048765402</v>
      </c>
      <c r="O41" s="616">
        <f t="shared" si="10"/>
        <v>-0.21701327831961553</v>
      </c>
      <c r="P41" s="616">
        <f t="shared" si="10"/>
        <v>-0.10000000000000009</v>
      </c>
      <c r="Q41" s="423"/>
      <c r="R41" s="423"/>
      <c r="S41" s="423"/>
      <c r="T41" s="423"/>
      <c r="U41" s="479"/>
      <c r="V41" s="426"/>
    </row>
    <row r="42" spans="1:22" s="68" customFormat="1" ht="14.45" x14ac:dyDescent="0.3">
      <c r="C42" s="68" t="s">
        <v>155</v>
      </c>
      <c r="F42" s="597">
        <v>128176.30608275552</v>
      </c>
      <c r="G42" s="597">
        <v>12817.630608275551</v>
      </c>
      <c r="H42" s="597">
        <v>2563.5261216551107</v>
      </c>
      <c r="I42" s="597">
        <v>1281.7630608275554</v>
      </c>
      <c r="K42" s="645">
        <f t="shared" si="11"/>
        <v>0.5</v>
      </c>
      <c r="L42" s="643">
        <f t="shared" si="12"/>
        <v>0.5</v>
      </c>
      <c r="N42" s="616">
        <f t="shared" si="10"/>
        <v>-0.9</v>
      </c>
      <c r="O42" s="616">
        <f t="shared" si="10"/>
        <v>-0.79999999999999993</v>
      </c>
      <c r="P42" s="616">
        <f t="shared" si="10"/>
        <v>-0.5</v>
      </c>
      <c r="Q42" s="423"/>
      <c r="R42" s="423"/>
      <c r="S42" s="423"/>
      <c r="T42" s="423"/>
      <c r="U42" s="479"/>
      <c r="V42" s="426"/>
    </row>
    <row r="43" spans="1:22" ht="14.45" x14ac:dyDescent="0.3">
      <c r="C43" s="12" t="s">
        <v>111</v>
      </c>
      <c r="D43" s="12"/>
      <c r="E43" s="12"/>
      <c r="F43" s="597">
        <v>96893.224317743283</v>
      </c>
      <c r="G43" s="597">
        <v>68214.382303408507</v>
      </c>
      <c r="H43" s="597">
        <v>60406.652562799027</v>
      </c>
      <c r="I43" s="597">
        <v>58698.093595112558</v>
      </c>
      <c r="K43" s="645">
        <f t="shared" si="11"/>
        <v>0.97171571515388566</v>
      </c>
      <c r="L43" s="643">
        <f t="shared" si="12"/>
        <v>2.8284284846114338E-2</v>
      </c>
      <c r="N43" s="616">
        <f t="shared" si="10"/>
        <v>-0.29598397840790036</v>
      </c>
      <c r="O43" s="616">
        <f t="shared" si="10"/>
        <v>-0.11445870323770926</v>
      </c>
      <c r="P43" s="616">
        <f t="shared" si="10"/>
        <v>-2.8284284846114321E-2</v>
      </c>
      <c r="Q43" s="479"/>
      <c r="R43" s="479"/>
      <c r="S43" s="479"/>
      <c r="T43" s="479"/>
      <c r="U43" s="479"/>
      <c r="V43" s="426"/>
    </row>
    <row r="44" spans="1:22" s="68" customFormat="1" ht="14.45" x14ac:dyDescent="0.3">
      <c r="C44" s="65"/>
      <c r="D44" s="65"/>
      <c r="E44" s="65"/>
      <c r="F44" s="166"/>
      <c r="G44" s="166"/>
      <c r="H44" s="166"/>
      <c r="I44" s="166"/>
      <c r="N44" s="616"/>
      <c r="O44" s="616"/>
      <c r="P44" s="616"/>
      <c r="Q44" s="479"/>
      <c r="R44" s="479"/>
      <c r="S44" s="479"/>
      <c r="T44" s="479"/>
      <c r="U44" s="479"/>
      <c r="V44" s="426"/>
    </row>
    <row r="45" spans="1:22" s="58" customFormat="1" ht="14.45" x14ac:dyDescent="0.3">
      <c r="C45" s="103" t="s">
        <v>80</v>
      </c>
      <c r="D45" s="22"/>
      <c r="E45" s="22"/>
      <c r="F45" s="105">
        <f>SUM(F40:F43)</f>
        <v>1065825.467495176</v>
      </c>
      <c r="G45" s="105">
        <f t="shared" ref="G45:I45" si="13">SUM(G40:G43)</f>
        <v>750358.20533749356</v>
      </c>
      <c r="H45" s="105">
        <f t="shared" si="13"/>
        <v>664473.1781907893</v>
      </c>
      <c r="I45" s="105">
        <f t="shared" si="13"/>
        <v>645679.02954623802</v>
      </c>
      <c r="N45" s="616">
        <f>(G45-F45)/F45</f>
        <v>-0.29598397840790031</v>
      </c>
      <c r="O45" s="616">
        <f>(H45-G45)/G45</f>
        <v>-0.11445870323770924</v>
      </c>
      <c r="P45" s="616">
        <f>(I45-H45)/H45</f>
        <v>-2.8284284846114505E-2</v>
      </c>
      <c r="Q45" s="482"/>
      <c r="R45" s="482"/>
      <c r="S45" s="482"/>
      <c r="T45" s="482"/>
      <c r="U45" s="482"/>
      <c r="V45" s="406"/>
    </row>
    <row r="46" spans="1:22" x14ac:dyDescent="0.25">
      <c r="C46" s="27" t="s">
        <v>185</v>
      </c>
      <c r="D46" s="12"/>
      <c r="E46" s="12"/>
      <c r="F46" s="24">
        <f>F45/$E$47</f>
        <v>4355.1075368576639</v>
      </c>
      <c r="G46" s="434">
        <f t="shared" ref="G46:I46" si="14">G45/$E$47</f>
        <v>3066.065481704301</v>
      </c>
      <c r="H46" s="434">
        <f t="shared" si="14"/>
        <v>2715.1276026265245</v>
      </c>
      <c r="I46" s="434">
        <f t="shared" si="14"/>
        <v>2638.3321601202879</v>
      </c>
      <c r="N46" s="479"/>
      <c r="O46" s="479"/>
      <c r="P46" s="479"/>
      <c r="Q46" s="479"/>
      <c r="R46" s="479"/>
      <c r="S46" s="479"/>
      <c r="T46" s="479"/>
      <c r="U46" s="479"/>
      <c r="V46" s="426"/>
    </row>
    <row r="47" spans="1:22" x14ac:dyDescent="0.25">
      <c r="C47" s="13" t="s">
        <v>112</v>
      </c>
      <c r="D47" s="12"/>
      <c r="E47" s="70">
        <v>244.73</v>
      </c>
      <c r="F47" s="23" t="s">
        <v>152</v>
      </c>
      <c r="G47" s="24"/>
      <c r="H47" s="24"/>
      <c r="I47" s="24"/>
      <c r="N47" s="479"/>
      <c r="O47" s="479"/>
      <c r="P47" s="479"/>
      <c r="Q47" s="479"/>
      <c r="R47" s="479"/>
      <c r="S47" s="479"/>
      <c r="T47" s="479"/>
      <c r="U47" s="479"/>
      <c r="V47" s="426"/>
    </row>
    <row r="48" spans="1:22" x14ac:dyDescent="0.25">
      <c r="N48" s="479"/>
      <c r="O48" s="479"/>
      <c r="P48" s="479"/>
      <c r="Q48" s="479"/>
      <c r="R48" s="479"/>
      <c r="S48" s="479"/>
      <c r="T48" s="479"/>
      <c r="U48" s="479"/>
      <c r="V48" s="426"/>
    </row>
    <row r="49" spans="1:22" x14ac:dyDescent="0.25">
      <c r="F49" s="10"/>
      <c r="G49" s="10"/>
      <c r="H49" s="10"/>
      <c r="I49" s="10"/>
      <c r="J49" s="10"/>
      <c r="N49" s="479"/>
      <c r="O49" s="479"/>
      <c r="P49" s="479"/>
      <c r="Q49" s="479"/>
      <c r="R49" s="479"/>
      <c r="S49" s="479"/>
      <c r="T49" s="479"/>
      <c r="U49" s="479"/>
      <c r="V49" s="426"/>
    </row>
    <row r="50" spans="1:22" x14ac:dyDescent="0.25">
      <c r="A50" s="57" t="s">
        <v>30</v>
      </c>
      <c r="B50" s="57" t="s">
        <v>62</v>
      </c>
      <c r="C50" s="64"/>
      <c r="D50" s="64"/>
      <c r="E50" s="64"/>
      <c r="F50" s="64"/>
      <c r="G50" s="64"/>
      <c r="H50" s="64"/>
      <c r="I50" s="64"/>
      <c r="J50" s="14"/>
      <c r="N50" s="479"/>
      <c r="O50" s="479"/>
      <c r="P50" s="479"/>
      <c r="Q50" s="479"/>
      <c r="R50" s="479"/>
      <c r="S50" s="479"/>
      <c r="T50" s="479"/>
      <c r="U50" s="479"/>
      <c r="V50" s="426"/>
    </row>
    <row r="51" spans="1:22" x14ac:dyDescent="0.25">
      <c r="A51" s="64"/>
      <c r="B51" s="64"/>
      <c r="C51" s="64"/>
      <c r="D51" s="64"/>
      <c r="E51" s="64"/>
      <c r="F51" s="61" t="s">
        <v>84</v>
      </c>
      <c r="G51" s="61" t="s">
        <v>106</v>
      </c>
      <c r="H51" s="61" t="s">
        <v>108</v>
      </c>
      <c r="I51" s="61" t="s">
        <v>107</v>
      </c>
      <c r="N51" s="617" t="s">
        <v>475</v>
      </c>
      <c r="O51" s="618" t="s">
        <v>476</v>
      </c>
      <c r="P51" s="618" t="s">
        <v>477</v>
      </c>
      <c r="Q51" s="479"/>
      <c r="R51" s="479"/>
      <c r="S51" s="479"/>
      <c r="T51" s="479"/>
      <c r="U51" s="479"/>
      <c r="V51" s="426"/>
    </row>
    <row r="52" spans="1:22" s="68" customFormat="1" x14ac:dyDescent="0.25">
      <c r="C52" s="68" t="s">
        <v>151</v>
      </c>
      <c r="F52" s="104">
        <f>F45+F33+F20</f>
        <v>2881423.8921057833</v>
      </c>
      <c r="G52" s="401">
        <f t="shared" ref="G52:I52" si="15">G45+G33+G20</f>
        <v>2026930.4114405119</v>
      </c>
      <c r="H52" s="401">
        <f t="shared" si="15"/>
        <v>1795066.2556259686</v>
      </c>
      <c r="I52" s="401">
        <f t="shared" si="15"/>
        <v>1744444.4515101309</v>
      </c>
      <c r="K52" s="645">
        <f>I52/H52</f>
        <v>0.97179947873390049</v>
      </c>
      <c r="L52" s="643">
        <f>1-K52</f>
        <v>2.820052126609951E-2</v>
      </c>
      <c r="N52" s="616">
        <f t="shared" ref="N52:P53" si="16">(G52-F52)/F52</f>
        <v>-0.2965525076009542</v>
      </c>
      <c r="O52" s="616">
        <f t="shared" si="16"/>
        <v>-0.11439176920225923</v>
      </c>
      <c r="P52" s="616">
        <f t="shared" si="16"/>
        <v>-2.8200521266099468E-2</v>
      </c>
      <c r="Q52" s="426"/>
      <c r="R52" s="426"/>
      <c r="S52" s="426"/>
      <c r="T52" s="426"/>
      <c r="U52" s="426"/>
      <c r="V52" s="426"/>
    </row>
    <row r="53" spans="1:22" x14ac:dyDescent="0.25">
      <c r="A53" s="64"/>
      <c r="B53" s="64"/>
      <c r="C53" s="64" t="s">
        <v>137</v>
      </c>
      <c r="D53" s="64"/>
      <c r="E53" s="64"/>
      <c r="F53" s="167">
        <v>0.02</v>
      </c>
      <c r="G53" s="167">
        <v>0.02</v>
      </c>
      <c r="H53" s="167">
        <v>0.02</v>
      </c>
      <c r="I53" s="167">
        <v>0.02</v>
      </c>
      <c r="K53" s="645">
        <f t="shared" ref="K53:K55" si="17">I53/H53</f>
        <v>1</v>
      </c>
      <c r="L53" s="643">
        <f t="shared" ref="L53:L55" si="18">1-K53</f>
        <v>0</v>
      </c>
      <c r="N53" s="616">
        <f t="shared" si="16"/>
        <v>0</v>
      </c>
      <c r="O53" s="616">
        <f t="shared" si="16"/>
        <v>0</v>
      </c>
      <c r="P53" s="616">
        <f t="shared" si="16"/>
        <v>0</v>
      </c>
      <c r="Q53" s="426"/>
      <c r="R53" s="426"/>
      <c r="S53" s="426"/>
      <c r="T53" s="426"/>
      <c r="U53" s="426"/>
      <c r="V53" s="426"/>
    </row>
    <row r="54" spans="1:22" s="68" customFormat="1" x14ac:dyDescent="0.25">
      <c r="F54" s="100"/>
      <c r="G54" s="100"/>
      <c r="H54" s="100"/>
      <c r="I54" s="100"/>
      <c r="K54" s="645"/>
      <c r="L54" s="643"/>
      <c r="N54" s="616"/>
      <c r="O54" s="616"/>
      <c r="P54" s="616"/>
      <c r="Q54" s="426"/>
      <c r="R54" s="426"/>
      <c r="S54" s="426"/>
      <c r="T54" s="426"/>
      <c r="U54" s="426"/>
      <c r="V54" s="426"/>
    </row>
    <row r="55" spans="1:22" s="58" customFormat="1" x14ac:dyDescent="0.25">
      <c r="C55" s="103" t="s">
        <v>80</v>
      </c>
      <c r="D55" s="22"/>
      <c r="E55" s="22"/>
      <c r="F55" s="105">
        <f>F53*F52</f>
        <v>57628.477842115666</v>
      </c>
      <c r="G55" s="105">
        <f t="shared" ref="G55:I55" si="19">G53*G52</f>
        <v>40538.608228810241</v>
      </c>
      <c r="H55" s="105">
        <f t="shared" si="19"/>
        <v>35901.325112519371</v>
      </c>
      <c r="I55" s="105">
        <f t="shared" si="19"/>
        <v>34888.889030202619</v>
      </c>
      <c r="K55" s="645">
        <f t="shared" si="17"/>
        <v>0.9717994787339006</v>
      </c>
      <c r="L55" s="643">
        <f t="shared" si="18"/>
        <v>2.8200521266099399E-2</v>
      </c>
      <c r="N55" s="616">
        <f>(G55-F55)/F55</f>
        <v>-0.2965525076009542</v>
      </c>
      <c r="O55" s="616">
        <f>(H55-G55)/G55</f>
        <v>-0.11439176920225927</v>
      </c>
      <c r="P55" s="616">
        <f>(I55-H55)/H55</f>
        <v>-2.820052126609942E-2</v>
      </c>
    </row>
    <row r="56" spans="1:22" x14ac:dyDescent="0.25">
      <c r="A56" s="64"/>
      <c r="B56" s="64"/>
      <c r="C56" s="402" t="s">
        <v>185</v>
      </c>
      <c r="D56" s="65"/>
      <c r="E56" s="65"/>
      <c r="F56" s="47">
        <f>F55/$E$57</f>
        <v>4276.3151216304059</v>
      </c>
      <c r="G56" s="434">
        <f t="shared" ref="G56:I56" si="20">G55/$E$57</f>
        <v>3008.1631490190293</v>
      </c>
      <c r="H56" s="434">
        <f t="shared" si="20"/>
        <v>2664.0540443537034</v>
      </c>
      <c r="I56" s="434">
        <f t="shared" si="20"/>
        <v>2588.9263316218685</v>
      </c>
      <c r="K56" s="616"/>
      <c r="L56" s="616"/>
      <c r="M56" s="616"/>
    </row>
    <row r="57" spans="1:22" x14ac:dyDescent="0.25">
      <c r="A57" s="64"/>
      <c r="B57" s="64"/>
      <c r="C57" s="60" t="s">
        <v>186</v>
      </c>
      <c r="D57" s="65"/>
      <c r="E57" s="70">
        <f>F53*(E47+E35+E22)</f>
        <v>13.476199999999999</v>
      </c>
      <c r="F57" s="23" t="s">
        <v>152</v>
      </c>
      <c r="G57" s="47"/>
      <c r="H57" s="47"/>
      <c r="I57" s="47"/>
      <c r="K57" s="616"/>
      <c r="L57" s="616"/>
      <c r="M57" s="616"/>
    </row>
    <row r="60" spans="1:22" x14ac:dyDescent="0.25">
      <c r="A60" s="57"/>
      <c r="B60" s="57"/>
      <c r="C60" s="64"/>
      <c r="D60" s="64"/>
      <c r="E60" s="64"/>
      <c r="F60" s="64"/>
      <c r="G60" s="64"/>
      <c r="H60" s="64"/>
      <c r="I60" s="64"/>
    </row>
    <row r="61" spans="1:22" x14ac:dyDescent="0.25">
      <c r="A61" s="64"/>
      <c r="B61" s="64"/>
      <c r="C61" s="64"/>
      <c r="D61" s="64"/>
      <c r="E61" s="64"/>
      <c r="F61" s="79"/>
      <c r="G61" s="79"/>
      <c r="H61" s="79"/>
      <c r="I61" s="79"/>
    </row>
    <row r="62" spans="1:22" x14ac:dyDescent="0.25">
      <c r="A62" s="64"/>
      <c r="B62" s="64"/>
      <c r="C62" s="64"/>
      <c r="D62" s="64"/>
      <c r="E62" s="64"/>
      <c r="F62" s="171"/>
      <c r="G62" s="171"/>
      <c r="H62" s="171"/>
      <c r="I62" s="171"/>
      <c r="K62" s="63"/>
      <c r="L62" s="63"/>
      <c r="M62" s="63"/>
    </row>
    <row r="63" spans="1:22" x14ac:dyDescent="0.25">
      <c r="A63" s="64"/>
      <c r="B63" s="64"/>
      <c r="C63" s="64"/>
      <c r="D63" s="64"/>
      <c r="E63" s="64"/>
      <c r="F63" s="171"/>
      <c r="G63" s="171"/>
      <c r="H63" s="171"/>
      <c r="I63" s="171"/>
      <c r="K63" s="63"/>
      <c r="L63" s="63"/>
      <c r="M63" s="63"/>
    </row>
    <row r="64" spans="1:22" s="68" customFormat="1" x14ac:dyDescent="0.25">
      <c r="F64" s="171"/>
      <c r="G64" s="171"/>
      <c r="H64" s="171"/>
      <c r="I64" s="171"/>
      <c r="K64" s="63"/>
      <c r="L64" s="63"/>
      <c r="M64" s="63"/>
    </row>
    <row r="65" spans="1:13" x14ac:dyDescent="0.25">
      <c r="A65" s="64"/>
      <c r="B65" s="64"/>
      <c r="C65" s="65"/>
      <c r="D65" s="65"/>
      <c r="E65" s="65"/>
      <c r="F65" s="165"/>
      <c r="G65" s="165"/>
      <c r="H65" s="165"/>
      <c r="I65" s="165"/>
      <c r="K65" s="63"/>
      <c r="L65" s="63"/>
      <c r="M65" s="63"/>
    </row>
    <row r="66" spans="1:13" s="68" customFormat="1" x14ac:dyDescent="0.25">
      <c r="C66" s="65"/>
      <c r="D66" s="65"/>
      <c r="E66" s="65"/>
      <c r="F66" s="172"/>
      <c r="G66" s="172"/>
      <c r="H66" s="172"/>
      <c r="I66" s="172"/>
    </row>
    <row r="67" spans="1:13" s="58" customFormat="1" x14ac:dyDescent="0.25">
      <c r="C67" s="103"/>
      <c r="D67" s="22"/>
      <c r="E67" s="22"/>
      <c r="F67" s="101"/>
      <c r="G67" s="101"/>
      <c r="H67" s="101"/>
      <c r="I67" s="101"/>
    </row>
    <row r="68" spans="1:13" x14ac:dyDescent="0.25">
      <c r="A68" s="64"/>
      <c r="B68" s="64"/>
      <c r="C68" s="27"/>
      <c r="D68" s="65"/>
      <c r="E68" s="65"/>
      <c r="F68" s="284"/>
      <c r="G68" s="184"/>
      <c r="H68" s="184"/>
      <c r="I68" s="184"/>
    </row>
    <row r="69" spans="1:13" x14ac:dyDescent="0.25">
      <c r="A69" s="64"/>
      <c r="B69" s="64"/>
      <c r="C69" s="60"/>
      <c r="D69" s="65"/>
      <c r="E69" s="70"/>
      <c r="F69" s="23"/>
      <c r="G69" s="47"/>
      <c r="H69" s="47"/>
      <c r="I69" s="47"/>
    </row>
    <row r="71" spans="1:13" s="253" customFormat="1" x14ac:dyDescent="0.25">
      <c r="A71" s="174" t="s">
        <v>148</v>
      </c>
    </row>
    <row r="72" spans="1:13" s="253" customFormat="1" x14ac:dyDescent="0.25">
      <c r="A72" s="253" t="s">
        <v>27</v>
      </c>
      <c r="B72" s="253" t="s">
        <v>457</v>
      </c>
    </row>
    <row r="73" spans="1:13" s="604" customFormat="1" x14ac:dyDescent="0.25">
      <c r="A73" s="604" t="s">
        <v>28</v>
      </c>
      <c r="B73" s="604" t="s">
        <v>457</v>
      </c>
    </row>
    <row r="74" spans="1:13" s="294" customFormat="1" x14ac:dyDescent="0.25">
      <c r="A74" s="294" t="s">
        <v>29</v>
      </c>
      <c r="B74" s="604" t="s">
        <v>457</v>
      </c>
    </row>
    <row r="75" spans="1:13" s="253" customFormat="1" x14ac:dyDescent="0.25">
      <c r="A75" s="253" t="s">
        <v>30</v>
      </c>
      <c r="B75" s="253" t="s">
        <v>458</v>
      </c>
    </row>
    <row r="76" spans="1:13" s="253" customFormat="1" x14ac:dyDescent="0.25"/>
    <row r="77" spans="1:13" s="253" customFormat="1" x14ac:dyDescent="0.25">
      <c r="A77" s="174" t="s">
        <v>212</v>
      </c>
    </row>
    <row r="78" spans="1:13" s="253" customFormat="1" x14ac:dyDescent="0.25">
      <c r="A78" s="253" t="s">
        <v>27</v>
      </c>
      <c r="B78" s="253" t="s">
        <v>461</v>
      </c>
    </row>
    <row r="79" spans="1:13" s="253" customFormat="1" x14ac:dyDescent="0.25">
      <c r="A79" s="253" t="s">
        <v>28</v>
      </c>
      <c r="B79" s="610" t="s">
        <v>461</v>
      </c>
    </row>
    <row r="80" spans="1:13" s="253" customFormat="1" x14ac:dyDescent="0.25">
      <c r="A80" s="253" t="s">
        <v>29</v>
      </c>
      <c r="B80" s="610" t="s">
        <v>461</v>
      </c>
    </row>
    <row r="81" spans="1:2" s="253" customFormat="1" x14ac:dyDescent="0.25">
      <c r="A81" s="253" t="s">
        <v>30</v>
      </c>
      <c r="B81" s="253" t="s">
        <v>214</v>
      </c>
    </row>
    <row r="82" spans="1:2" s="253" customFormat="1" x14ac:dyDescent="0.25"/>
  </sheetData>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zoomScale="80" zoomScaleNormal="80" zoomScalePageLayoutView="125" workbookViewId="0">
      <selection activeCell="R32" sqref="Q32:R32"/>
    </sheetView>
  </sheetViews>
  <sheetFormatPr defaultColWidth="8.85546875" defaultRowHeight="15" x14ac:dyDescent="0.25"/>
  <cols>
    <col min="1" max="1" width="7.140625" style="610" customWidth="1"/>
    <col min="2" max="2" width="3.42578125" style="610" customWidth="1"/>
    <col min="3" max="3" width="7.140625" style="610" customWidth="1"/>
    <col min="4" max="4" width="40.7109375" style="610" bestFit="1" customWidth="1"/>
    <col min="5" max="5" width="16.28515625" style="610" bestFit="1" customWidth="1"/>
    <col min="6" max="6" width="17.85546875" style="610" customWidth="1"/>
    <col min="7" max="7" width="18.42578125" style="610" customWidth="1"/>
    <col min="8" max="8" width="17.28515625" style="610" bestFit="1" customWidth="1"/>
    <col min="9" max="9" width="17.140625" style="610" bestFit="1" customWidth="1"/>
    <col min="10" max="10" width="12" style="610" customWidth="1"/>
    <col min="11" max="11" width="11.85546875" style="610" customWidth="1"/>
    <col min="12" max="12" width="12.85546875" style="610" customWidth="1"/>
    <col min="13" max="13" width="12.42578125" style="610" customWidth="1"/>
    <col min="14" max="14" width="15.28515625" style="610" bestFit="1" customWidth="1"/>
    <col min="15" max="15" width="8.85546875" style="610" customWidth="1"/>
    <col min="16" max="16" width="9" style="610" customWidth="1"/>
    <col min="17" max="17" width="8.85546875" style="610"/>
    <col min="18" max="18" width="11.28515625" style="610" bestFit="1" customWidth="1"/>
    <col min="19" max="16384" width="8.85546875" style="610"/>
  </cols>
  <sheetData>
    <row r="1" spans="1:22" x14ac:dyDescent="0.25">
      <c r="A1" s="595" t="s">
        <v>366</v>
      </c>
    </row>
    <row r="2" spans="1:22" x14ac:dyDescent="0.25">
      <c r="A2" s="611"/>
      <c r="K2" s="384"/>
      <c r="L2" s="384"/>
      <c r="M2" s="384"/>
      <c r="N2" s="384"/>
      <c r="O2" s="384"/>
      <c r="P2" s="384"/>
    </row>
    <row r="3" spans="1:22" x14ac:dyDescent="0.25">
      <c r="A3" s="595" t="s">
        <v>109</v>
      </c>
      <c r="E3" s="610">
        <v>1</v>
      </c>
      <c r="F3" s="610">
        <v>10</v>
      </c>
      <c r="G3" s="610">
        <v>50</v>
      </c>
      <c r="H3" s="610">
        <v>100</v>
      </c>
      <c r="I3" s="407" t="s">
        <v>110</v>
      </c>
      <c r="K3" s="461"/>
      <c r="L3" s="461"/>
      <c r="M3" s="691"/>
      <c r="N3" s="683"/>
      <c r="O3" s="683"/>
      <c r="P3" s="683"/>
      <c r="Q3" s="481"/>
      <c r="R3" s="480"/>
      <c r="S3" s="480"/>
    </row>
    <row r="4" spans="1:22" x14ac:dyDescent="0.25">
      <c r="A4" s="896"/>
      <c r="B4" s="986" t="str">
        <f>A31</f>
        <v>1.4.1</v>
      </c>
      <c r="C4" s="986"/>
      <c r="D4" s="986" t="str">
        <f>B31</f>
        <v xml:space="preserve">Surge Frame </v>
      </c>
      <c r="E4" s="1215">
        <f>E38</f>
        <v>1286985.7</v>
      </c>
      <c r="F4" s="1215">
        <f t="shared" ref="F4:H4" si="0">F38</f>
        <v>9048963</v>
      </c>
      <c r="G4" s="1215">
        <f t="shared" si="0"/>
        <v>40079655</v>
      </c>
      <c r="H4" s="1215">
        <f t="shared" si="0"/>
        <v>77874720</v>
      </c>
      <c r="I4" s="888">
        <f>D40</f>
        <v>301</v>
      </c>
      <c r="K4" s="692"/>
      <c r="L4" s="693"/>
      <c r="M4" s="692"/>
      <c r="N4" s="683"/>
      <c r="O4" s="683"/>
      <c r="P4" s="683"/>
      <c r="Q4" s="481"/>
      <c r="R4" s="480"/>
      <c r="S4" s="480"/>
    </row>
    <row r="5" spans="1:22" x14ac:dyDescent="0.25">
      <c r="A5" s="896"/>
      <c r="B5" s="986" t="str">
        <f>A42</f>
        <v>1.4.2</v>
      </c>
      <c r="C5" s="986"/>
      <c r="D5" s="986" t="str">
        <f>B42</f>
        <v>Surge Flap</v>
      </c>
      <c r="E5" s="1215">
        <f>E49</f>
        <v>2530059.9610000001</v>
      </c>
      <c r="F5" s="1215">
        <f t="shared" ref="F5:H5" si="1">F49</f>
        <v>17789178.990000002</v>
      </c>
      <c r="G5" s="1215">
        <f t="shared" si="1"/>
        <v>78791808.150000006</v>
      </c>
      <c r="H5" s="1215">
        <f t="shared" si="1"/>
        <v>153092385.59999999</v>
      </c>
      <c r="I5" s="888">
        <f>D51</f>
        <v>498.54599999999999</v>
      </c>
      <c r="K5" s="694"/>
      <c r="L5" s="693"/>
      <c r="M5" s="692"/>
      <c r="N5" s="683"/>
      <c r="O5" s="683"/>
      <c r="P5" s="683"/>
      <c r="Q5" s="481"/>
      <c r="R5" s="480"/>
      <c r="S5" s="480"/>
    </row>
    <row r="6" spans="1:22" x14ac:dyDescent="0.25">
      <c r="A6" s="896"/>
      <c r="B6" s="1083" t="str">
        <f>A53</f>
        <v>1.4.2.1</v>
      </c>
      <c r="C6" s="1083"/>
      <c r="D6" s="1083" t="str">
        <f t="shared" ref="D6" si="2">C53</f>
        <v>Fiberglass Tubing</v>
      </c>
      <c r="E6" s="1216">
        <f>E60</f>
        <v>704909.0048</v>
      </c>
      <c r="F6" s="1216">
        <f>F60</f>
        <v>4956306.432</v>
      </c>
      <c r="G6" s="1216">
        <f>G60</f>
        <v>21952465.919999998</v>
      </c>
      <c r="H6" s="1216">
        <f>H60</f>
        <v>42653614.079999998</v>
      </c>
      <c r="I6" s="1217">
        <f>D62</f>
        <v>71.680000000000007</v>
      </c>
      <c r="K6" s="693"/>
      <c r="L6" s="693"/>
      <c r="M6" s="693"/>
      <c r="N6" s="693"/>
      <c r="O6" s="683"/>
      <c r="P6" s="693"/>
      <c r="Q6" s="481"/>
      <c r="R6" s="480"/>
      <c r="S6" s="480"/>
    </row>
    <row r="7" spans="1:22" x14ac:dyDescent="0.25">
      <c r="A7" s="896"/>
      <c r="B7" s="1083" t="str">
        <f>A64</f>
        <v>1.4.2.2</v>
      </c>
      <c r="C7" s="1083"/>
      <c r="D7" s="1083" t="str">
        <f t="shared" ref="D7" si="3">C64</f>
        <v>Upright Support Structures - Side (2)</v>
      </c>
      <c r="E7" s="1218">
        <f>E71</f>
        <v>642492.3361999999</v>
      </c>
      <c r="F7" s="1218">
        <f>F71</f>
        <v>4517446.7579999994</v>
      </c>
      <c r="G7" s="1218">
        <f>G71</f>
        <v>20008669.229999997</v>
      </c>
      <c r="H7" s="1218">
        <f>H71</f>
        <v>38876819.519999996</v>
      </c>
      <c r="I7" s="1217">
        <f>D73</f>
        <v>150.26599999999999</v>
      </c>
      <c r="K7" s="692"/>
      <c r="L7" s="692"/>
      <c r="M7" s="692"/>
      <c r="N7" s="683"/>
      <c r="O7" s="683"/>
      <c r="P7" s="683"/>
      <c r="Q7" s="481"/>
      <c r="R7" s="480"/>
      <c r="S7" s="480"/>
    </row>
    <row r="8" spans="1:22" s="923" customFormat="1" x14ac:dyDescent="0.25">
      <c r="A8" s="896"/>
      <c r="B8" s="1083" t="str">
        <f>A75</f>
        <v>1.4.2.3</v>
      </c>
      <c r="C8" s="1083"/>
      <c r="D8" s="1083" t="str">
        <f t="shared" ref="D8" si="4">C75</f>
        <v>Upright Support Structures - Center</v>
      </c>
      <c r="E8" s="1218">
        <f>E82</f>
        <v>263383.12</v>
      </c>
      <c r="F8" s="1218">
        <f t="shared" ref="F8:H8" si="5">F82</f>
        <v>1851880.8</v>
      </c>
      <c r="G8" s="1218">
        <f t="shared" si="5"/>
        <v>8202348</v>
      </c>
      <c r="H8" s="1218">
        <f t="shared" si="5"/>
        <v>15937152</v>
      </c>
      <c r="I8" s="1217">
        <f>D84</f>
        <v>61.6</v>
      </c>
      <c r="K8" s="692"/>
      <c r="L8" s="692"/>
      <c r="M8" s="692"/>
      <c r="N8" s="683"/>
      <c r="O8" s="683"/>
      <c r="P8" s="683"/>
      <c r="Q8" s="884"/>
      <c r="R8" s="924"/>
      <c r="S8" s="924"/>
    </row>
    <row r="9" spans="1:22" s="923" customFormat="1" x14ac:dyDescent="0.25">
      <c r="A9" s="896"/>
      <c r="B9" s="1083" t="str">
        <f>A86</f>
        <v>1.4.2.4</v>
      </c>
      <c r="C9" s="1083"/>
      <c r="D9" s="1083" t="str">
        <f t="shared" ref="D9" si="6">C86</f>
        <v>Torque Tube</v>
      </c>
      <c r="E9" s="1218">
        <f>E93</f>
        <v>919275.5</v>
      </c>
      <c r="F9" s="1218">
        <f t="shared" ref="F9:H9" si="7">F93</f>
        <v>6463545</v>
      </c>
      <c r="G9" s="1218">
        <f t="shared" si="7"/>
        <v>28628325</v>
      </c>
      <c r="H9" s="1218">
        <f t="shared" si="7"/>
        <v>55624800</v>
      </c>
      <c r="I9" s="1217">
        <f>D95</f>
        <v>215</v>
      </c>
      <c r="K9" s="692"/>
      <c r="L9" s="692"/>
      <c r="M9" s="692"/>
      <c r="N9" s="683"/>
      <c r="O9" s="683"/>
      <c r="P9" s="683"/>
      <c r="Q9" s="884"/>
      <c r="R9" s="924"/>
      <c r="S9" s="924"/>
    </row>
    <row r="10" spans="1:22" x14ac:dyDescent="0.25">
      <c r="A10" s="896"/>
      <c r="B10" s="986"/>
      <c r="C10" s="986"/>
      <c r="D10" s="986"/>
      <c r="E10" s="1215"/>
      <c r="F10" s="1215"/>
      <c r="G10" s="1215"/>
      <c r="H10" s="1215"/>
      <c r="I10" s="986"/>
      <c r="K10" s="695"/>
      <c r="L10" s="691"/>
      <c r="M10" s="692"/>
      <c r="N10" s="683"/>
      <c r="O10" s="683"/>
      <c r="P10" s="683"/>
      <c r="Q10" s="481"/>
      <c r="R10" s="480"/>
      <c r="S10" s="480"/>
    </row>
    <row r="11" spans="1:22" x14ac:dyDescent="0.25">
      <c r="A11" s="896"/>
      <c r="B11" s="986"/>
      <c r="C11" s="897" t="s">
        <v>80</v>
      </c>
      <c r="D11" s="897"/>
      <c r="E11" s="282">
        <f>E4+E5</f>
        <v>3817045.6610000003</v>
      </c>
      <c r="F11" s="282">
        <f t="shared" ref="F11:H11" si="8">F4+F5</f>
        <v>26838141.990000002</v>
      </c>
      <c r="G11" s="282">
        <f t="shared" si="8"/>
        <v>118871463.15000001</v>
      </c>
      <c r="H11" s="282">
        <f t="shared" si="8"/>
        <v>230967105.59999999</v>
      </c>
      <c r="I11" s="911">
        <f>SUM(I4:I5)</f>
        <v>799.54600000000005</v>
      </c>
      <c r="K11" s="763"/>
      <c r="L11" s="692"/>
      <c r="M11" s="692"/>
      <c r="N11" s="683"/>
      <c r="O11" s="683"/>
      <c r="P11" s="683"/>
      <c r="Q11" s="481"/>
      <c r="R11" s="481"/>
      <c r="S11" s="481"/>
      <c r="T11" s="479"/>
      <c r="U11" s="479"/>
      <c r="V11" s="479"/>
    </row>
    <row r="12" spans="1:22" x14ac:dyDescent="0.25">
      <c r="A12" s="986"/>
      <c r="B12" s="896"/>
      <c r="C12" s="986"/>
      <c r="D12" s="986"/>
      <c r="E12" s="971">
        <f>(E11/($I$11*E3))</f>
        <v>4774.0163305175693</v>
      </c>
      <c r="F12" s="971">
        <f t="shared" ref="F12:G12" si="9">(F11/($I$11*F3))</f>
        <v>3356.672660484825</v>
      </c>
      <c r="G12" s="971">
        <f t="shared" si="9"/>
        <v>2973.4740252593347</v>
      </c>
      <c r="H12" s="971">
        <f>(H11/($I$11*H3))</f>
        <v>2888.7281732383126</v>
      </c>
      <c r="I12" s="986"/>
      <c r="K12" s="683"/>
      <c r="L12" s="683"/>
      <c r="M12" s="683"/>
      <c r="N12" s="683"/>
      <c r="O12" s="683"/>
      <c r="P12" s="683"/>
      <c r="Q12" s="481"/>
      <c r="R12" s="481"/>
      <c r="S12" s="481"/>
      <c r="T12" s="479"/>
    </row>
    <row r="13" spans="1:22" x14ac:dyDescent="0.25">
      <c r="A13" s="986"/>
      <c r="B13" s="986"/>
      <c r="C13" s="986"/>
      <c r="D13" s="986"/>
      <c r="E13" s="986"/>
      <c r="F13" s="781"/>
      <c r="G13" s="781"/>
      <c r="H13" s="986"/>
      <c r="I13" s="986"/>
      <c r="K13" s="683"/>
      <c r="L13" s="683"/>
      <c r="M13" s="683"/>
      <c r="N13" s="683"/>
      <c r="O13" s="683"/>
      <c r="P13" s="683"/>
      <c r="Q13" s="481"/>
      <c r="R13" s="481"/>
      <c r="S13" s="481"/>
      <c r="T13" s="479"/>
    </row>
    <row r="14" spans="1:22" x14ac:dyDescent="0.25">
      <c r="K14" s="683"/>
      <c r="L14" s="683"/>
      <c r="M14" s="683"/>
      <c r="N14" s="683"/>
      <c r="O14" s="683"/>
      <c r="P14" s="683"/>
      <c r="Q14" s="481"/>
      <c r="R14" s="481"/>
      <c r="S14" s="481"/>
      <c r="T14" s="479"/>
    </row>
    <row r="15" spans="1:22" x14ac:dyDescent="0.25">
      <c r="A15" s="595" t="s">
        <v>867</v>
      </c>
      <c r="K15" s="683"/>
      <c r="L15" s="683"/>
      <c r="M15" s="683"/>
      <c r="N15" s="683"/>
      <c r="O15" s="683"/>
      <c r="P15" s="683"/>
      <c r="Q15" s="481"/>
      <c r="R15" s="481"/>
      <c r="S15" s="481"/>
      <c r="T15" s="479"/>
    </row>
    <row r="16" spans="1:22" x14ac:dyDescent="0.25">
      <c r="E16" s="745">
        <v>1</v>
      </c>
      <c r="F16" s="745">
        <v>10</v>
      </c>
      <c r="G16" s="745">
        <v>50</v>
      </c>
      <c r="H16" s="745">
        <v>100</v>
      </c>
      <c r="J16" s="702" t="s">
        <v>512</v>
      </c>
      <c r="K16" s="703"/>
      <c r="L16" s="703"/>
      <c r="M16" s="703"/>
      <c r="N16" s="704"/>
      <c r="O16" s="622"/>
      <c r="P16" s="622"/>
      <c r="Q16" s="479"/>
      <c r="R16" s="479"/>
      <c r="S16" s="479"/>
      <c r="T16" s="479"/>
    </row>
    <row r="17" spans="1:25" x14ac:dyDescent="0.25">
      <c r="D17" s="610" t="s">
        <v>510</v>
      </c>
      <c r="E17" s="408">
        <v>2222</v>
      </c>
      <c r="F17" s="408">
        <v>1873</v>
      </c>
      <c r="G17" s="408">
        <v>1778</v>
      </c>
      <c r="H17" s="408">
        <v>1778</v>
      </c>
      <c r="J17" s="696" t="s">
        <v>27</v>
      </c>
      <c r="K17" s="680">
        <f t="shared" ref="K17:N20" si="10">F113/$E$120</f>
        <v>2143.3422562882934</v>
      </c>
      <c r="L17" s="680">
        <f t="shared" si="10"/>
        <v>1807.5526025168076</v>
      </c>
      <c r="M17" s="680">
        <f t="shared" si="10"/>
        <v>1714.6738050306349</v>
      </c>
      <c r="N17" s="697">
        <f t="shared" si="10"/>
        <v>1714.6738050306349</v>
      </c>
      <c r="O17" s="622"/>
      <c r="P17" s="622"/>
      <c r="Q17" s="479"/>
      <c r="R17" s="479"/>
      <c r="S17" s="479"/>
      <c r="T17" s="479"/>
    </row>
    <row r="18" spans="1:25" x14ac:dyDescent="0.25">
      <c r="D18" s="610" t="s">
        <v>130</v>
      </c>
      <c r="E18" s="408">
        <v>1146</v>
      </c>
      <c r="F18" s="408">
        <v>808</v>
      </c>
      <c r="G18" s="408">
        <v>633</v>
      </c>
      <c r="H18" s="408">
        <v>569</v>
      </c>
      <c r="J18" s="696"/>
      <c r="K18" s="680">
        <f t="shared" si="10"/>
        <v>1263.1753228946507</v>
      </c>
      <c r="L18" s="680">
        <f t="shared" si="10"/>
        <v>890.14455448276021</v>
      </c>
      <c r="M18" s="680">
        <f t="shared" si="10"/>
        <v>696.97136653610266</v>
      </c>
      <c r="N18" s="697">
        <f t="shared" si="10"/>
        <v>627.27422988249236</v>
      </c>
      <c r="O18" s="622"/>
      <c r="P18" s="622"/>
      <c r="Q18" s="479"/>
      <c r="R18" s="479"/>
      <c r="S18" s="479"/>
      <c r="T18" s="479"/>
    </row>
    <row r="19" spans="1:25" x14ac:dyDescent="0.25">
      <c r="D19" s="610" t="s">
        <v>153</v>
      </c>
      <c r="E19" s="408">
        <v>519</v>
      </c>
      <c r="F19" s="408">
        <v>52</v>
      </c>
      <c r="G19" s="408">
        <v>10</v>
      </c>
      <c r="H19" s="408">
        <v>5</v>
      </c>
      <c r="J19" s="696"/>
      <c r="K19" s="680">
        <f t="shared" si="10"/>
        <v>550.58179688020516</v>
      </c>
      <c r="L19" s="680">
        <f t="shared" si="10"/>
        <v>55.058179688020509</v>
      </c>
      <c r="M19" s="680">
        <f t="shared" si="10"/>
        <v>11.011635937604101</v>
      </c>
      <c r="N19" s="697">
        <f t="shared" si="10"/>
        <v>5.5058179688020505</v>
      </c>
      <c r="O19" s="622"/>
      <c r="P19" s="622"/>
      <c r="Q19" s="479"/>
      <c r="R19" s="680"/>
      <c r="S19" s="479"/>
      <c r="T19" s="479"/>
    </row>
    <row r="20" spans="1:25" x14ac:dyDescent="0.25">
      <c r="D20" s="610" t="s">
        <v>511</v>
      </c>
      <c r="E20" s="408" t="s">
        <v>502</v>
      </c>
      <c r="F20" s="408" t="s">
        <v>502</v>
      </c>
      <c r="G20" s="408" t="s">
        <v>502</v>
      </c>
      <c r="H20" s="408" t="s">
        <v>502</v>
      </c>
      <c r="J20" s="696"/>
      <c r="K20" s="680">
        <f t="shared" si="10"/>
        <v>395.70993760631507</v>
      </c>
      <c r="L20" s="680">
        <f t="shared" si="10"/>
        <v>275.27553366875884</v>
      </c>
      <c r="M20" s="680">
        <f t="shared" si="10"/>
        <v>242.26568075043414</v>
      </c>
      <c r="N20" s="697">
        <f t="shared" si="10"/>
        <v>234.74538528819295</v>
      </c>
      <c r="O20" s="622"/>
      <c r="P20" s="622"/>
      <c r="Q20" s="479"/>
      <c r="R20" s="479"/>
      <c r="S20" s="479"/>
      <c r="T20" s="479"/>
    </row>
    <row r="21" spans="1:25" x14ac:dyDescent="0.25">
      <c r="A21" s="925" t="s">
        <v>868</v>
      </c>
      <c r="B21" s="923"/>
      <c r="C21" s="923"/>
      <c r="D21" s="923"/>
      <c r="E21" s="923"/>
      <c r="F21" s="923"/>
      <c r="G21" s="923"/>
      <c r="H21" s="923"/>
      <c r="J21" s="696"/>
      <c r="K21" s="680"/>
      <c r="L21" s="680"/>
      <c r="M21" s="680"/>
      <c r="N21" s="697"/>
      <c r="O21" s="622"/>
      <c r="P21" s="622"/>
      <c r="Q21" s="479"/>
      <c r="R21" s="479"/>
      <c r="S21" s="479"/>
      <c r="T21" s="479"/>
    </row>
    <row r="22" spans="1:25" x14ac:dyDescent="0.25">
      <c r="A22" s="923"/>
      <c r="B22" s="923"/>
      <c r="C22" s="923"/>
      <c r="D22" s="923"/>
      <c r="E22" s="923">
        <v>1</v>
      </c>
      <c r="F22" s="923">
        <v>10</v>
      </c>
      <c r="G22" s="923">
        <v>50</v>
      </c>
      <c r="H22" s="923">
        <v>100</v>
      </c>
      <c r="J22" s="696" t="s">
        <v>28</v>
      </c>
      <c r="K22" s="680">
        <f t="shared" ref="K22:N25" si="11">F126/$E$133</f>
        <v>2257.4680081449033</v>
      </c>
      <c r="L22" s="680">
        <f t="shared" si="11"/>
        <v>1903.7986869568358</v>
      </c>
      <c r="M22" s="680">
        <f t="shared" si="11"/>
        <v>1805.9744065159227</v>
      </c>
      <c r="N22" s="697">
        <f t="shared" si="11"/>
        <v>1805.9744065159227</v>
      </c>
      <c r="O22" s="622"/>
      <c r="P22" s="622"/>
      <c r="Q22" s="479"/>
      <c r="R22" s="479"/>
      <c r="S22" s="479"/>
      <c r="T22" s="479"/>
    </row>
    <row r="23" spans="1:25" x14ac:dyDescent="0.25">
      <c r="A23" s="923"/>
      <c r="B23" s="923"/>
      <c r="C23" s="923"/>
      <c r="D23" s="923" t="s">
        <v>510</v>
      </c>
      <c r="E23" s="880">
        <f>E17*$E$27</f>
        <v>5110.5999999999995</v>
      </c>
      <c r="F23" s="880">
        <f t="shared" ref="F23:H23" si="12">F17*$E$27</f>
        <v>4307.8999999999996</v>
      </c>
      <c r="G23" s="880">
        <f t="shared" si="12"/>
        <v>4089.3999999999996</v>
      </c>
      <c r="H23" s="880">
        <f t="shared" si="12"/>
        <v>4089.3999999999996</v>
      </c>
      <c r="J23" s="696"/>
      <c r="K23" s="680">
        <f t="shared" si="11"/>
        <v>1005.3420551798945</v>
      </c>
      <c r="L23" s="680">
        <f t="shared" si="11"/>
        <v>708.45253195745306</v>
      </c>
      <c r="M23" s="680">
        <f t="shared" si="11"/>
        <v>554.708925463534</v>
      </c>
      <c r="N23" s="697">
        <f t="shared" si="11"/>
        <v>499.23803291718053</v>
      </c>
      <c r="Q23" s="479"/>
      <c r="R23" s="479"/>
      <c r="S23" s="479"/>
      <c r="T23" s="479"/>
    </row>
    <row r="24" spans="1:25" x14ac:dyDescent="0.25">
      <c r="A24" s="923"/>
      <c r="B24" s="923"/>
      <c r="C24" s="923"/>
      <c r="D24" s="923" t="s">
        <v>130</v>
      </c>
      <c r="E24" s="880">
        <f t="shared" ref="E24:H24" si="13">E18*$E$27</f>
        <v>2635.7999999999997</v>
      </c>
      <c r="F24" s="880">
        <f t="shared" si="13"/>
        <v>1858.3999999999999</v>
      </c>
      <c r="G24" s="880">
        <f t="shared" si="13"/>
        <v>1455.8999999999999</v>
      </c>
      <c r="H24" s="880">
        <f t="shared" si="13"/>
        <v>1308.6999999999998</v>
      </c>
      <c r="J24" s="696"/>
      <c r="K24" s="680">
        <f t="shared" si="11"/>
        <v>482.48383112550499</v>
      </c>
      <c r="L24" s="680">
        <f t="shared" si="11"/>
        <v>48.248383112550499</v>
      </c>
      <c r="M24" s="680">
        <f t="shared" si="11"/>
        <v>9.6496766225101016</v>
      </c>
      <c r="N24" s="697">
        <f t="shared" si="11"/>
        <v>4.8248383112550508</v>
      </c>
      <c r="Q24" s="479"/>
      <c r="R24" s="479"/>
      <c r="S24" s="479"/>
      <c r="T24" s="479"/>
    </row>
    <row r="25" spans="1:25" x14ac:dyDescent="0.25">
      <c r="A25" s="923"/>
      <c r="B25" s="923"/>
      <c r="C25" s="923"/>
      <c r="D25" s="923" t="s">
        <v>153</v>
      </c>
      <c r="E25" s="880">
        <f t="shared" ref="E25:H25" si="14">E19*$E$27</f>
        <v>1193.6999999999998</v>
      </c>
      <c r="F25" s="880">
        <f t="shared" si="14"/>
        <v>119.6</v>
      </c>
      <c r="G25" s="880">
        <f t="shared" si="14"/>
        <v>23</v>
      </c>
      <c r="H25" s="880">
        <f t="shared" si="14"/>
        <v>11.5</v>
      </c>
      <c r="J25" s="696"/>
      <c r="K25" s="680">
        <f t="shared" si="11"/>
        <v>374.52938944503023</v>
      </c>
      <c r="L25" s="680">
        <f t="shared" si="11"/>
        <v>266.04996020268391</v>
      </c>
      <c r="M25" s="680">
        <f t="shared" si="11"/>
        <v>237.03330086019665</v>
      </c>
      <c r="N25" s="697">
        <f t="shared" si="11"/>
        <v>231.00372777443584</v>
      </c>
      <c r="Q25" s="479"/>
      <c r="R25" s="479"/>
      <c r="S25" s="479"/>
      <c r="T25" s="479"/>
      <c r="U25" s="687"/>
      <c r="V25" s="688"/>
      <c r="W25" s="481"/>
      <c r="X25" s="689"/>
      <c r="Y25" s="689"/>
    </row>
    <row r="26" spans="1:25" x14ac:dyDescent="0.25">
      <c r="A26" s="923"/>
      <c r="B26" s="923"/>
      <c r="C26" s="923"/>
      <c r="D26" s="923" t="s">
        <v>511</v>
      </c>
      <c r="E26" s="878" t="s">
        <v>502</v>
      </c>
      <c r="F26" s="878" t="s">
        <v>502</v>
      </c>
      <c r="G26" s="878" t="s">
        <v>502</v>
      </c>
      <c r="H26" s="878" t="s">
        <v>502</v>
      </c>
      <c r="J26" s="696"/>
      <c r="K26" s="479"/>
      <c r="L26" s="479"/>
      <c r="M26" s="479"/>
      <c r="N26" s="698"/>
      <c r="Q26" s="479"/>
      <c r="R26" s="479"/>
      <c r="S26" s="479"/>
      <c r="T26" s="479"/>
      <c r="U26" s="479"/>
      <c r="V26" s="479"/>
    </row>
    <row r="27" spans="1:25" ht="14.45" x14ac:dyDescent="0.3">
      <c r="D27" s="610" t="s">
        <v>872</v>
      </c>
      <c r="E27" s="610">
        <v>2.2999999999999998</v>
      </c>
      <c r="J27" s="696" t="s">
        <v>29</v>
      </c>
      <c r="K27" s="680">
        <f t="shared" ref="K27:N30" si="15">F138/$E$145</f>
        <v>2265.0713712354641</v>
      </c>
      <c r="L27" s="680">
        <f t="shared" si="15"/>
        <v>1910.2108587422338</v>
      </c>
      <c r="M27" s="680">
        <f t="shared" si="15"/>
        <v>1812.0570969883713</v>
      </c>
      <c r="N27" s="697">
        <f t="shared" si="15"/>
        <v>1812.0570969883713</v>
      </c>
      <c r="Q27" s="479"/>
      <c r="R27" s="479"/>
    </row>
    <row r="28" spans="1:25" ht="14.45" x14ac:dyDescent="0.3">
      <c r="J28" s="696"/>
      <c r="K28" s="680">
        <f t="shared" si="15"/>
        <v>1170.3715131460065</v>
      </c>
      <c r="L28" s="680">
        <f t="shared" si="15"/>
        <v>824.74681880367223</v>
      </c>
      <c r="M28" s="680">
        <f t="shared" si="15"/>
        <v>645.76580787141336</v>
      </c>
      <c r="N28" s="697">
        <f t="shared" si="15"/>
        <v>581.18922708427192</v>
      </c>
    </row>
    <row r="29" spans="1:25" ht="14.45" x14ac:dyDescent="0.3">
      <c r="J29" s="699"/>
      <c r="K29" s="680">
        <f t="shared" si="15"/>
        <v>523.74578548913303</v>
      </c>
      <c r="L29" s="680">
        <f t="shared" si="15"/>
        <v>52.374578548913298</v>
      </c>
      <c r="M29" s="680">
        <f t="shared" si="15"/>
        <v>10.474915709782662</v>
      </c>
      <c r="N29" s="697">
        <f t="shared" si="15"/>
        <v>5.2374578548913311</v>
      </c>
    </row>
    <row r="30" spans="1:25" ht="14.45" x14ac:dyDescent="0.3">
      <c r="J30" s="700"/>
      <c r="K30" s="582">
        <f t="shared" si="15"/>
        <v>395.91886698706037</v>
      </c>
      <c r="L30" s="582">
        <f t="shared" si="15"/>
        <v>278.73322560948191</v>
      </c>
      <c r="M30" s="582">
        <f t="shared" si="15"/>
        <v>246.82978205695676</v>
      </c>
      <c r="N30" s="701">
        <f t="shared" si="15"/>
        <v>239.84837819275347</v>
      </c>
    </row>
    <row r="31" spans="1:25" ht="14.45" x14ac:dyDescent="0.3">
      <c r="A31" s="595" t="s">
        <v>27</v>
      </c>
      <c r="B31" s="595" t="s">
        <v>860</v>
      </c>
      <c r="F31" s="63"/>
      <c r="G31" s="63"/>
    </row>
    <row r="32" spans="1:25" s="923" customFormat="1" ht="14.45" x14ac:dyDescent="0.3">
      <c r="A32" s="610"/>
      <c r="B32" s="610"/>
      <c r="C32" s="610"/>
      <c r="D32" s="610"/>
      <c r="E32" s="610">
        <v>1</v>
      </c>
      <c r="F32" s="610">
        <v>10</v>
      </c>
      <c r="G32" s="610">
        <v>50</v>
      </c>
      <c r="H32" s="610">
        <v>100</v>
      </c>
    </row>
    <row r="33" spans="1:8" s="923" customFormat="1" ht="14.45" x14ac:dyDescent="0.3">
      <c r="A33" s="610"/>
      <c r="B33" s="610"/>
      <c r="C33" s="610" t="s">
        <v>129</v>
      </c>
      <c r="D33" s="610"/>
      <c r="E33" s="63">
        <f>$E$32*E17*$D$40</f>
        <v>668822</v>
      </c>
      <c r="F33" s="63">
        <f>$F$32*F17*$D$40</f>
        <v>5637730</v>
      </c>
      <c r="G33" s="63">
        <f>$G$32*G17*$D$40</f>
        <v>26758900</v>
      </c>
      <c r="H33" s="63">
        <f>$H$32*H17*$D$40</f>
        <v>53517800</v>
      </c>
    </row>
    <row r="34" spans="1:8" s="923" customFormat="1" ht="14.45" x14ac:dyDescent="0.3">
      <c r="A34" s="610"/>
      <c r="B34" s="610"/>
      <c r="C34" s="610" t="s">
        <v>130</v>
      </c>
      <c r="D34" s="610"/>
      <c r="E34" s="63">
        <f>$E$32*E18*$D$40</f>
        <v>344946</v>
      </c>
      <c r="F34" s="63">
        <f>$F$32*F18*$D$40</f>
        <v>2432080</v>
      </c>
      <c r="G34" s="63">
        <f>$G$32*G18*$D$40</f>
        <v>9526650</v>
      </c>
      <c r="H34" s="63">
        <f>$H$32*H18*$D$40</f>
        <v>17126900</v>
      </c>
    </row>
    <row r="35" spans="1:8" s="923" customFormat="1" ht="14.45" x14ac:dyDescent="0.3">
      <c r="A35" s="610"/>
      <c r="B35" s="610"/>
      <c r="C35" s="610" t="s">
        <v>153</v>
      </c>
      <c r="D35" s="610"/>
      <c r="E35" s="63">
        <f>$E$32*E19*$D$40</f>
        <v>156219</v>
      </c>
      <c r="F35" s="63">
        <f>$F$32*F19*$D$40</f>
        <v>156520</v>
      </c>
      <c r="G35" s="63">
        <f>$G$32*G19*$D$40</f>
        <v>150500</v>
      </c>
      <c r="H35" s="63">
        <f>$H$32*H19*$D$40</f>
        <v>150500</v>
      </c>
    </row>
    <row r="36" spans="1:8" s="923" customFormat="1" ht="14.45" x14ac:dyDescent="0.3">
      <c r="A36" s="610"/>
      <c r="B36" s="610"/>
      <c r="C36" s="610" t="s">
        <v>111</v>
      </c>
      <c r="D36" s="610"/>
      <c r="E36" s="63">
        <f>0.1*SUM(E33:E35)</f>
        <v>116998.70000000001</v>
      </c>
      <c r="F36" s="63">
        <f t="shared" ref="F36:H36" si="16">0.1*SUM(F33:F35)</f>
        <v>822633</v>
      </c>
      <c r="G36" s="63">
        <f t="shared" si="16"/>
        <v>3643605</v>
      </c>
      <c r="H36" s="63">
        <f t="shared" si="16"/>
        <v>7079520</v>
      </c>
    </row>
    <row r="37" spans="1:8" s="923" customFormat="1" ht="14.45" x14ac:dyDescent="0.3">
      <c r="A37" s="610"/>
      <c r="B37" s="610"/>
      <c r="C37" s="610"/>
      <c r="D37" s="610"/>
      <c r="E37" s="63"/>
      <c r="F37" s="63"/>
      <c r="G37" s="63"/>
      <c r="H37" s="63"/>
    </row>
    <row r="38" spans="1:8" s="923" customFormat="1" ht="14.45" x14ac:dyDescent="0.3">
      <c r="A38" s="610"/>
      <c r="B38" s="610"/>
      <c r="C38" s="288" t="s">
        <v>509</v>
      </c>
      <c r="D38" s="288"/>
      <c r="E38" s="582">
        <f>SUM(E33:E36)</f>
        <v>1286985.7</v>
      </c>
      <c r="F38" s="582">
        <f t="shared" ref="F38:H38" si="17">SUM(F33:F36)</f>
        <v>9048963</v>
      </c>
      <c r="G38" s="582">
        <f t="shared" si="17"/>
        <v>40079655</v>
      </c>
      <c r="H38" s="582">
        <f t="shared" si="17"/>
        <v>77874720</v>
      </c>
    </row>
    <row r="39" spans="1:8" s="923" customFormat="1" ht="14.45" x14ac:dyDescent="0.3">
      <c r="A39" s="610"/>
      <c r="B39" s="610"/>
      <c r="C39" s="610" t="s">
        <v>185</v>
      </c>
      <c r="D39" s="610"/>
      <c r="E39" s="63">
        <f>E38/($D$40*E32)</f>
        <v>4275.7</v>
      </c>
      <c r="F39" s="974">
        <f t="shared" ref="F39:G39" si="18">F38/($D$40*F32)</f>
        <v>3006.3</v>
      </c>
      <c r="G39" s="974">
        <f t="shared" si="18"/>
        <v>2663.1</v>
      </c>
      <c r="H39" s="974">
        <f>H38/($D$40*H32)</f>
        <v>2587.1999999999998</v>
      </c>
    </row>
    <row r="40" spans="1:8" s="923" customFormat="1" ht="14.45" x14ac:dyDescent="0.3">
      <c r="A40" s="610"/>
      <c r="B40" s="610"/>
      <c r="C40" s="610" t="s">
        <v>112</v>
      </c>
      <c r="D40" s="314">
        <v>301</v>
      </c>
      <c r="E40" s="63" t="s">
        <v>152</v>
      </c>
      <c r="F40" s="610"/>
      <c r="G40" s="63"/>
      <c r="H40" s="610"/>
    </row>
    <row r="41" spans="1:8" s="923" customFormat="1" ht="14.45" x14ac:dyDescent="0.3">
      <c r="D41" s="314"/>
      <c r="E41" s="880"/>
      <c r="G41" s="880"/>
    </row>
    <row r="42" spans="1:8" s="923" customFormat="1" ht="14.45" x14ac:dyDescent="0.3">
      <c r="A42" s="595" t="s">
        <v>28</v>
      </c>
      <c r="B42" s="595" t="s">
        <v>862</v>
      </c>
      <c r="C42" s="610"/>
      <c r="D42" s="610"/>
      <c r="E42" s="314"/>
      <c r="F42" s="63"/>
      <c r="G42" s="610"/>
      <c r="H42" s="610"/>
    </row>
    <row r="43" spans="1:8" s="923" customFormat="1" ht="14.45" x14ac:dyDescent="0.3">
      <c r="A43" s="610"/>
      <c r="B43" s="610"/>
      <c r="C43" s="610"/>
      <c r="D43" s="610"/>
      <c r="E43" s="745">
        <v>1</v>
      </c>
      <c r="F43" s="745">
        <v>10</v>
      </c>
      <c r="G43" s="745">
        <v>50</v>
      </c>
      <c r="H43" s="745">
        <v>100</v>
      </c>
    </row>
    <row r="44" spans="1:8" s="923" customFormat="1" ht="14.45" x14ac:dyDescent="0.3">
      <c r="A44" s="610"/>
      <c r="B44" s="610"/>
      <c r="C44" s="610" t="s">
        <v>129</v>
      </c>
      <c r="D44" s="610"/>
      <c r="E44" s="63">
        <f>E55+E66+E77+E88</f>
        <v>1314824.06</v>
      </c>
      <c r="F44" s="880">
        <f t="shared" ref="F44:H44" si="19">F55+F66+F77+F88</f>
        <v>11083102.9</v>
      </c>
      <c r="G44" s="880">
        <f t="shared" si="19"/>
        <v>52604797</v>
      </c>
      <c r="H44" s="880">
        <f t="shared" si="19"/>
        <v>105209594</v>
      </c>
    </row>
    <row r="45" spans="1:8" s="923" customFormat="1" ht="14.45" x14ac:dyDescent="0.3">
      <c r="A45" s="610"/>
      <c r="B45" s="610"/>
      <c r="C45" s="610" t="s">
        <v>130</v>
      </c>
      <c r="D45" s="610"/>
      <c r="E45" s="880">
        <f t="shared" ref="E45:H47" si="20">E56+E67+E78+E89</f>
        <v>678122.58</v>
      </c>
      <c r="F45" s="880">
        <f t="shared" si="20"/>
        <v>4781178.4000000004</v>
      </c>
      <c r="G45" s="880">
        <f t="shared" si="20"/>
        <v>18728254.5</v>
      </c>
      <c r="H45" s="880">
        <f t="shared" si="20"/>
        <v>33669437</v>
      </c>
    </row>
    <row r="46" spans="1:8" s="923" customFormat="1" ht="14.45" x14ac:dyDescent="0.3">
      <c r="A46" s="610"/>
      <c r="B46" s="610"/>
      <c r="C46" s="610" t="s">
        <v>153</v>
      </c>
      <c r="D46" s="610"/>
      <c r="E46" s="880">
        <f t="shared" si="20"/>
        <v>307107.87</v>
      </c>
      <c r="F46" s="880">
        <f t="shared" si="20"/>
        <v>307699.59999999998</v>
      </c>
      <c r="G46" s="880">
        <f t="shared" si="20"/>
        <v>295865</v>
      </c>
      <c r="H46" s="880">
        <f t="shared" si="20"/>
        <v>295865</v>
      </c>
    </row>
    <row r="47" spans="1:8" s="923" customFormat="1" ht="14.45" x14ac:dyDescent="0.3">
      <c r="A47" s="610"/>
      <c r="B47" s="610"/>
      <c r="C47" s="610" t="s">
        <v>111</v>
      </c>
      <c r="D47" s="610"/>
      <c r="E47" s="880">
        <f t="shared" si="20"/>
        <v>230005.451</v>
      </c>
      <c r="F47" s="880">
        <f t="shared" si="20"/>
        <v>1617198.09</v>
      </c>
      <c r="G47" s="880">
        <f t="shared" si="20"/>
        <v>7162891.6499999994</v>
      </c>
      <c r="H47" s="880">
        <f t="shared" si="20"/>
        <v>13917489.6</v>
      </c>
    </row>
    <row r="48" spans="1:8" s="923" customFormat="1" ht="14.45" x14ac:dyDescent="0.3">
      <c r="A48" s="610"/>
      <c r="B48" s="610"/>
      <c r="C48" s="610"/>
      <c r="D48" s="610"/>
      <c r="E48" s="63"/>
      <c r="F48" s="63"/>
      <c r="G48" s="63"/>
      <c r="H48" s="63"/>
    </row>
    <row r="49" spans="1:8" s="923" customFormat="1" ht="14.45" x14ac:dyDescent="0.3">
      <c r="A49" s="610"/>
      <c r="B49" s="610"/>
      <c r="C49" s="288" t="s">
        <v>509</v>
      </c>
      <c r="D49" s="288"/>
      <c r="E49" s="582">
        <f>SUM(E44:E47)</f>
        <v>2530059.9610000001</v>
      </c>
      <c r="F49" s="582">
        <f t="shared" ref="F49:H49" si="21">SUM(F44:F47)</f>
        <v>17789178.990000002</v>
      </c>
      <c r="G49" s="582">
        <f t="shared" si="21"/>
        <v>78791808.150000006</v>
      </c>
      <c r="H49" s="582">
        <f t="shared" si="21"/>
        <v>153092385.59999999</v>
      </c>
    </row>
    <row r="50" spans="1:8" s="923" customFormat="1" ht="14.45" x14ac:dyDescent="0.3">
      <c r="A50" s="610"/>
      <c r="B50" s="610"/>
      <c r="C50" s="610" t="s">
        <v>185</v>
      </c>
      <c r="D50" s="610"/>
      <c r="E50" s="63">
        <f>E49/($D$51*E43)</f>
        <v>5074.8776662534656</v>
      </c>
      <c r="F50" s="974">
        <f t="shared" ref="F50:G50" si="22">F49/($D$51*F43)</f>
        <v>3568.2121589582512</v>
      </c>
      <c r="G50" s="974">
        <f t="shared" si="22"/>
        <v>3160.8641188576385</v>
      </c>
      <c r="H50" s="974">
        <f>H49/($D$51*H43)</f>
        <v>3070.7775330661561</v>
      </c>
    </row>
    <row r="51" spans="1:8" s="923" customFormat="1" ht="14.45" x14ac:dyDescent="0.3">
      <c r="A51" s="610"/>
      <c r="B51" s="610"/>
      <c r="C51" s="610" t="s">
        <v>112</v>
      </c>
      <c r="D51" s="314">
        <f>SUM(D62+D73+D84+D95)</f>
        <v>498.54599999999999</v>
      </c>
      <c r="E51" s="63" t="s">
        <v>152</v>
      </c>
      <c r="F51" s="610"/>
      <c r="G51" s="63"/>
      <c r="H51" s="610"/>
    </row>
    <row r="52" spans="1:8" s="923" customFormat="1" ht="14.45" x14ac:dyDescent="0.3">
      <c r="D52" s="314"/>
      <c r="E52" s="880"/>
      <c r="G52" s="880"/>
    </row>
    <row r="53" spans="1:8" s="923" customFormat="1" ht="14.45" x14ac:dyDescent="0.3">
      <c r="A53" s="925" t="s">
        <v>863</v>
      </c>
      <c r="C53" s="595" t="s">
        <v>861</v>
      </c>
      <c r="E53" s="880"/>
      <c r="G53" s="880"/>
    </row>
    <row r="54" spans="1:8" s="923" customFormat="1" ht="14.45" x14ac:dyDescent="0.3">
      <c r="A54" s="610"/>
      <c r="B54" s="610"/>
      <c r="C54" s="610"/>
      <c r="D54" s="610"/>
      <c r="E54" s="745">
        <v>1</v>
      </c>
      <c r="F54" s="745">
        <v>10</v>
      </c>
      <c r="G54" s="745">
        <v>50</v>
      </c>
      <c r="H54" s="745">
        <v>100</v>
      </c>
    </row>
    <row r="55" spans="1:8" s="923" customFormat="1" x14ac:dyDescent="0.25">
      <c r="A55" s="610"/>
      <c r="B55" s="610"/>
      <c r="C55" s="610" t="s">
        <v>129</v>
      </c>
      <c r="D55" s="610"/>
      <c r="E55" s="63">
        <f>$E$54*E23*$D$62</f>
        <v>366327.80800000002</v>
      </c>
      <c r="F55" s="63">
        <f>$F$54*F23*$D$62</f>
        <v>3087902.7200000002</v>
      </c>
      <c r="G55" s="63">
        <f>$G$54*G23*$D$62</f>
        <v>14656409.6</v>
      </c>
      <c r="H55" s="63">
        <f>$H$54*H23*$D$62</f>
        <v>29312819.199999999</v>
      </c>
    </row>
    <row r="56" spans="1:8" s="923" customFormat="1" x14ac:dyDescent="0.25">
      <c r="A56" s="610"/>
      <c r="B56" s="610"/>
      <c r="C56" s="610" t="s">
        <v>130</v>
      </c>
      <c r="D56" s="610"/>
      <c r="E56" s="880">
        <f>$E$54*E24*$D$62</f>
        <v>188934.144</v>
      </c>
      <c r="F56" s="880">
        <f>$F$54*F24*$D$62</f>
        <v>1332101.1200000001</v>
      </c>
      <c r="G56" s="880">
        <f>$G$54*G24*$D$62</f>
        <v>5217945.6000000006</v>
      </c>
      <c r="H56" s="880">
        <f>$H$54*H24*$D$62</f>
        <v>9380761.5999999996</v>
      </c>
    </row>
    <row r="57" spans="1:8" s="923" customFormat="1" x14ac:dyDescent="0.25">
      <c r="A57" s="610"/>
      <c r="B57" s="610"/>
      <c r="C57" s="610" t="s">
        <v>153</v>
      </c>
      <c r="D57" s="610"/>
      <c r="E57" s="880">
        <f>$E$54*E25*$D$62</f>
        <v>85564.415999999997</v>
      </c>
      <c r="F57" s="880">
        <f>$F$54*F25*$D$62</f>
        <v>85729.280000000013</v>
      </c>
      <c r="G57" s="880">
        <f>$G$54*G25*$D$62</f>
        <v>82432.000000000015</v>
      </c>
      <c r="H57" s="880">
        <f>$H$54*H25*$D$62</f>
        <v>82432.000000000015</v>
      </c>
    </row>
    <row r="58" spans="1:8" s="923" customFormat="1" x14ac:dyDescent="0.25">
      <c r="A58" s="610"/>
      <c r="B58" s="610"/>
      <c r="C58" s="610" t="s">
        <v>111</v>
      </c>
      <c r="D58" s="610"/>
      <c r="E58" s="63">
        <f>0.1*SUM(E55:E57)</f>
        <v>64082.636800000007</v>
      </c>
      <c r="F58" s="63">
        <f t="shared" ref="F58:H58" si="23">0.1*SUM(F55:F57)</f>
        <v>450573.31200000003</v>
      </c>
      <c r="G58" s="63">
        <f t="shared" si="23"/>
        <v>1995678.72</v>
      </c>
      <c r="H58" s="63">
        <f t="shared" si="23"/>
        <v>3877601.2799999998</v>
      </c>
    </row>
    <row r="59" spans="1:8" s="923" customFormat="1" x14ac:dyDescent="0.25">
      <c r="A59" s="610"/>
      <c r="B59" s="610"/>
      <c r="C59" s="610"/>
      <c r="D59" s="610"/>
      <c r="E59" s="63"/>
      <c r="F59" s="63"/>
      <c r="G59" s="63"/>
      <c r="H59" s="63"/>
    </row>
    <row r="60" spans="1:8" s="923" customFormat="1" x14ac:dyDescent="0.25">
      <c r="A60" s="611"/>
      <c r="B60" s="611"/>
      <c r="C60" s="288" t="s">
        <v>509</v>
      </c>
      <c r="D60" s="288"/>
      <c r="E60" s="582">
        <f>SUM(E55:E58)</f>
        <v>704909.0048</v>
      </c>
      <c r="F60" s="582">
        <f t="shared" ref="F60:H60" si="24">SUM(F55:F58)</f>
        <v>4956306.432</v>
      </c>
      <c r="G60" s="582">
        <f t="shared" si="24"/>
        <v>21952465.919999998</v>
      </c>
      <c r="H60" s="582">
        <f t="shared" si="24"/>
        <v>42653614.079999998</v>
      </c>
    </row>
    <row r="61" spans="1:8" x14ac:dyDescent="0.25">
      <c r="C61" s="610" t="s">
        <v>185</v>
      </c>
      <c r="E61" s="63">
        <f>E60/($D$62*E54)</f>
        <v>9834.1099999999988</v>
      </c>
      <c r="F61" s="974">
        <f t="shared" ref="F61:H61" si="25">F60/($D$62*F54)</f>
        <v>6914.49</v>
      </c>
      <c r="G61" s="974">
        <f t="shared" si="25"/>
        <v>6125.1299999999983</v>
      </c>
      <c r="H61" s="974">
        <f t="shared" si="25"/>
        <v>5950.5599999999986</v>
      </c>
    </row>
    <row r="62" spans="1:8" s="923" customFormat="1" x14ac:dyDescent="0.25">
      <c r="A62" s="610"/>
      <c r="B62" s="610"/>
      <c r="C62" s="610" t="s">
        <v>112</v>
      </c>
      <c r="D62" s="314">
        <f>4.48*16</f>
        <v>71.680000000000007</v>
      </c>
      <c r="E62" s="63" t="s">
        <v>152</v>
      </c>
      <c r="F62" s="610"/>
      <c r="G62" s="63"/>
      <c r="H62" s="610"/>
    </row>
    <row r="63" spans="1:8" x14ac:dyDescent="0.25">
      <c r="A63" s="923"/>
      <c r="B63" s="923"/>
      <c r="C63" s="923"/>
      <c r="D63" s="314"/>
      <c r="E63" s="880"/>
      <c r="F63" s="923"/>
      <c r="G63" s="880"/>
      <c r="H63" s="923"/>
    </row>
    <row r="64" spans="1:8" x14ac:dyDescent="0.25">
      <c r="A64" s="595" t="s">
        <v>864</v>
      </c>
      <c r="C64" s="595" t="s">
        <v>871</v>
      </c>
    </row>
    <row r="65" spans="1:22" x14ac:dyDescent="0.25">
      <c r="E65" s="745">
        <v>1</v>
      </c>
      <c r="F65" s="745">
        <v>10</v>
      </c>
      <c r="G65" s="745">
        <v>50</v>
      </c>
      <c r="H65" s="745">
        <v>100</v>
      </c>
    </row>
    <row r="66" spans="1:22" x14ac:dyDescent="0.25">
      <c r="C66" s="610" t="s">
        <v>129</v>
      </c>
      <c r="E66" s="63">
        <f>$E$65*E17*$D$73</f>
        <v>333891.05199999997</v>
      </c>
      <c r="F66" s="63">
        <f>$F$65*F17*$D$73</f>
        <v>2814482.1799999997</v>
      </c>
      <c r="G66" s="63">
        <f>$G$65*G17*$D$73</f>
        <v>13358647.399999999</v>
      </c>
      <c r="H66" s="63">
        <f>$H$65*H17*$D$73</f>
        <v>26717294.799999997</v>
      </c>
    </row>
    <row r="67" spans="1:22" x14ac:dyDescent="0.25">
      <c r="C67" s="610" t="s">
        <v>130</v>
      </c>
      <c r="E67" s="63">
        <f>$E$65*E18*$D$73</f>
        <v>172204.83599999998</v>
      </c>
      <c r="F67" s="63">
        <f>$F$65*F18*$D$73</f>
        <v>1214149.28</v>
      </c>
      <c r="G67" s="63">
        <f>$G$65*G18*$D$73</f>
        <v>4755918.8999999994</v>
      </c>
      <c r="H67" s="63">
        <f>$H$65*H18*$D$73</f>
        <v>8550135.4000000004</v>
      </c>
    </row>
    <row r="68" spans="1:22" x14ac:dyDescent="0.25">
      <c r="C68" s="610" t="s">
        <v>153</v>
      </c>
      <c r="E68" s="63">
        <f>$E$65*E19*$D$73</f>
        <v>77988.053999999989</v>
      </c>
      <c r="F68" s="63">
        <f>$F$65*F19*$D$73</f>
        <v>78138.319999999992</v>
      </c>
      <c r="G68" s="63">
        <f>$G$65*G19*$D$73</f>
        <v>75133</v>
      </c>
      <c r="H68" s="63">
        <f>$H$65*H19*$D$73</f>
        <v>75133</v>
      </c>
    </row>
    <row r="69" spans="1:22" x14ac:dyDescent="0.25">
      <c r="C69" s="610" t="s">
        <v>111</v>
      </c>
      <c r="E69" s="63">
        <f>0.1*SUM(E66:E68)</f>
        <v>58408.394199999995</v>
      </c>
      <c r="F69" s="63">
        <f t="shared" ref="F69" si="26">0.1*SUM(F66:F68)</f>
        <v>410676.978</v>
      </c>
      <c r="G69" s="63">
        <f t="shared" ref="G69" si="27">0.1*SUM(G66:G68)</f>
        <v>1818969.9299999997</v>
      </c>
      <c r="H69" s="63">
        <f t="shared" ref="H69" si="28">0.1*SUM(H66:H68)</f>
        <v>3534256.32</v>
      </c>
    </row>
    <row r="70" spans="1:22" x14ac:dyDescent="0.25">
      <c r="E70" s="63"/>
      <c r="F70" s="63"/>
      <c r="G70" s="63"/>
      <c r="H70" s="63"/>
    </row>
    <row r="71" spans="1:22" x14ac:dyDescent="0.25">
      <c r="C71" s="288" t="s">
        <v>509</v>
      </c>
      <c r="D71" s="288"/>
      <c r="E71" s="582">
        <f>SUM(E66:E69)</f>
        <v>642492.3361999999</v>
      </c>
      <c r="F71" s="582">
        <f t="shared" ref="F71:H71" si="29">SUM(F66:F69)</f>
        <v>4517446.7579999994</v>
      </c>
      <c r="G71" s="582">
        <f t="shared" si="29"/>
        <v>20008669.229999997</v>
      </c>
      <c r="H71" s="582">
        <f t="shared" si="29"/>
        <v>38876819.519999996</v>
      </c>
    </row>
    <row r="72" spans="1:22" x14ac:dyDescent="0.25">
      <c r="B72" s="611"/>
      <c r="C72" s="610" t="s">
        <v>185</v>
      </c>
      <c r="E72" s="63">
        <f>E71/($D$73*E65)</f>
        <v>4275.7</v>
      </c>
      <c r="F72" s="974">
        <f t="shared" ref="F72:G72" si="30">F71/($D$73*F65)</f>
        <v>3006.2999999999997</v>
      </c>
      <c r="G72" s="974">
        <f t="shared" si="30"/>
        <v>2663.1</v>
      </c>
      <c r="H72" s="974">
        <f>H71/($D$73*H65)</f>
        <v>2587.1999999999998</v>
      </c>
    </row>
    <row r="73" spans="1:22" x14ac:dyDescent="0.25">
      <c r="C73" s="610" t="s">
        <v>112</v>
      </c>
      <c r="D73" s="314">
        <f>75.133*2</f>
        <v>150.26599999999999</v>
      </c>
      <c r="E73" s="63" t="s">
        <v>152</v>
      </c>
      <c r="G73" s="63"/>
      <c r="K73" s="622"/>
      <c r="L73" s="622"/>
      <c r="M73" s="622"/>
      <c r="N73" s="622"/>
      <c r="O73" s="622"/>
      <c r="P73" s="622"/>
      <c r="Q73" s="479"/>
      <c r="R73" s="479"/>
      <c r="S73" s="479"/>
      <c r="T73" s="479"/>
      <c r="U73" s="479"/>
      <c r="V73" s="479"/>
    </row>
    <row r="74" spans="1:22" s="479" customFormat="1" x14ac:dyDescent="0.25">
      <c r="A74" s="610"/>
      <c r="B74" s="610"/>
      <c r="C74" s="610"/>
      <c r="D74" s="610"/>
      <c r="E74" s="610"/>
      <c r="F74" s="610"/>
      <c r="G74" s="610"/>
      <c r="H74" s="610"/>
      <c r="J74" s="434"/>
      <c r="K74" s="623"/>
      <c r="L74" s="681"/>
      <c r="M74" s="682"/>
      <c r="N74" s="683"/>
      <c r="O74" s="683"/>
      <c r="P74" s="683"/>
    </row>
    <row r="75" spans="1:22" x14ac:dyDescent="0.25">
      <c r="A75" s="925" t="s">
        <v>865</v>
      </c>
      <c r="C75" s="925" t="s">
        <v>866</v>
      </c>
      <c r="D75" s="923"/>
      <c r="E75" s="923"/>
      <c r="F75" s="923"/>
      <c r="G75" s="923"/>
      <c r="H75" s="923"/>
      <c r="K75" s="684"/>
      <c r="L75" s="685"/>
      <c r="M75" s="481"/>
      <c r="N75" s="686"/>
      <c r="O75" s="209"/>
      <c r="P75" s="209"/>
      <c r="Q75" s="479"/>
      <c r="R75" s="479"/>
      <c r="S75" s="479"/>
      <c r="T75" s="479"/>
      <c r="U75" s="479"/>
      <c r="V75" s="479"/>
    </row>
    <row r="76" spans="1:22" x14ac:dyDescent="0.25">
      <c r="A76" s="923"/>
      <c r="B76" s="923"/>
      <c r="C76" s="923"/>
      <c r="D76" s="923"/>
      <c r="E76" s="923">
        <v>1</v>
      </c>
      <c r="F76" s="923">
        <v>10</v>
      </c>
      <c r="G76" s="923">
        <v>50</v>
      </c>
      <c r="H76" s="923">
        <v>100</v>
      </c>
      <c r="J76" s="464"/>
      <c r="K76" s="687"/>
      <c r="L76" s="688"/>
      <c r="M76" s="481"/>
      <c r="N76" s="689"/>
      <c r="O76" s="689"/>
      <c r="P76" s="689"/>
      <c r="Q76" s="479"/>
      <c r="R76" s="479"/>
      <c r="S76" s="479"/>
      <c r="T76" s="479"/>
      <c r="U76" s="479"/>
      <c r="V76" s="479"/>
    </row>
    <row r="77" spans="1:22" x14ac:dyDescent="0.25">
      <c r="A77" s="923"/>
      <c r="B77" s="923"/>
      <c r="C77" s="923" t="s">
        <v>129</v>
      </c>
      <c r="D77" s="923"/>
      <c r="E77" s="880">
        <f>$E$76*E17*$D$84</f>
        <v>136875.20000000001</v>
      </c>
      <c r="F77" s="880">
        <f>$F$76*F17*$D$84</f>
        <v>1153768</v>
      </c>
      <c r="G77" s="880">
        <f>$G$76*G17*$D$84</f>
        <v>5476240</v>
      </c>
      <c r="H77" s="880">
        <f>$H$76*H17*$D$84</f>
        <v>10952480</v>
      </c>
      <c r="J77" s="464"/>
      <c r="P77" s="689"/>
      <c r="Q77" s="479"/>
      <c r="R77" s="479"/>
      <c r="S77" s="479"/>
      <c r="T77" s="479"/>
      <c r="U77" s="479"/>
      <c r="V77" s="479"/>
    </row>
    <row r="78" spans="1:22" x14ac:dyDescent="0.25">
      <c r="A78" s="923"/>
      <c r="B78" s="923"/>
      <c r="C78" s="923" t="s">
        <v>130</v>
      </c>
      <c r="D78" s="923"/>
      <c r="E78" s="880">
        <f t="shared" ref="E78:E79" si="31">$E$76*E18*$D$84</f>
        <v>70593.600000000006</v>
      </c>
      <c r="F78" s="880">
        <f t="shared" ref="F78:F79" si="32">$F$76*F18*$D$84</f>
        <v>497728</v>
      </c>
      <c r="G78" s="880">
        <f t="shared" ref="G78:G79" si="33">$G$76*G18*$D$84</f>
        <v>1949640</v>
      </c>
      <c r="H78" s="880">
        <f t="shared" ref="H78:H79" si="34">$H$76*H18*$D$84</f>
        <v>3505040</v>
      </c>
      <c r="J78" s="464"/>
      <c r="P78" s="689"/>
      <c r="Q78" s="423"/>
      <c r="R78" s="423"/>
      <c r="S78" s="423"/>
      <c r="T78" s="423"/>
      <c r="U78" s="479"/>
      <c r="V78" s="479"/>
    </row>
    <row r="79" spans="1:22" x14ac:dyDescent="0.25">
      <c r="A79" s="923"/>
      <c r="B79" s="923"/>
      <c r="C79" s="923" t="s">
        <v>153</v>
      </c>
      <c r="D79" s="923"/>
      <c r="E79" s="880">
        <f t="shared" si="31"/>
        <v>31970.400000000001</v>
      </c>
      <c r="F79" s="880">
        <f t="shared" si="32"/>
        <v>32032</v>
      </c>
      <c r="G79" s="880">
        <f t="shared" si="33"/>
        <v>30800</v>
      </c>
      <c r="H79" s="880">
        <f t="shared" si="34"/>
        <v>30800</v>
      </c>
      <c r="J79" s="464"/>
      <c r="P79" s="689"/>
      <c r="Q79" s="479"/>
      <c r="R79" s="479"/>
      <c r="S79" s="479"/>
      <c r="T79" s="479"/>
      <c r="U79" s="479"/>
      <c r="V79" s="479"/>
    </row>
    <row r="80" spans="1:22" x14ac:dyDescent="0.25">
      <c r="A80" s="923"/>
      <c r="B80" s="923"/>
      <c r="C80" s="923" t="s">
        <v>111</v>
      </c>
      <c r="D80" s="923"/>
      <c r="E80" s="880">
        <f>0.1*SUM(E77:E79)</f>
        <v>23943.920000000002</v>
      </c>
      <c r="F80" s="880">
        <f t="shared" ref="F80:H80" si="35">0.1*SUM(F77:F79)</f>
        <v>168352.80000000002</v>
      </c>
      <c r="G80" s="880">
        <f t="shared" si="35"/>
        <v>745668</v>
      </c>
      <c r="H80" s="880">
        <f t="shared" si="35"/>
        <v>1448832</v>
      </c>
      <c r="J80" s="464"/>
      <c r="P80" s="689"/>
      <c r="Q80" s="479"/>
      <c r="R80" s="479"/>
      <c r="S80" s="479"/>
      <c r="T80" s="479"/>
      <c r="U80" s="479"/>
      <c r="V80" s="479"/>
    </row>
    <row r="81" spans="1:25" s="611" customFormat="1" x14ac:dyDescent="0.25">
      <c r="A81" s="923"/>
      <c r="B81" s="923"/>
      <c r="C81" s="923"/>
      <c r="D81" s="923"/>
      <c r="E81" s="880"/>
      <c r="F81" s="880"/>
      <c r="G81" s="880"/>
      <c r="H81" s="880"/>
      <c r="J81" s="102"/>
      <c r="P81" s="689"/>
      <c r="Q81" s="482"/>
      <c r="R81" s="482"/>
      <c r="S81" s="482"/>
      <c r="T81" s="482"/>
      <c r="U81" s="482"/>
      <c r="V81" s="482"/>
    </row>
    <row r="82" spans="1:25" x14ac:dyDescent="0.25">
      <c r="A82" s="923"/>
      <c r="B82" s="923"/>
      <c r="C82" s="885" t="s">
        <v>509</v>
      </c>
      <c r="D82" s="885"/>
      <c r="E82" s="582">
        <f>SUM(E77:E80)</f>
        <v>263383.12</v>
      </c>
      <c r="F82" s="582">
        <f t="shared" ref="F82:H82" si="36">SUM(F77:F80)</f>
        <v>1851880.8</v>
      </c>
      <c r="G82" s="582">
        <f t="shared" si="36"/>
        <v>8202348</v>
      </c>
      <c r="H82" s="582">
        <f t="shared" si="36"/>
        <v>15937152</v>
      </c>
      <c r="J82" s="464"/>
      <c r="P82" s="481"/>
      <c r="Q82" s="479"/>
      <c r="R82" s="479"/>
      <c r="S82" s="479"/>
      <c r="T82" s="479"/>
      <c r="U82" s="479"/>
      <c r="V82" s="479"/>
    </row>
    <row r="83" spans="1:25" x14ac:dyDescent="0.25">
      <c r="A83" s="923"/>
      <c r="B83" s="882"/>
      <c r="C83" s="923" t="s">
        <v>185</v>
      </c>
      <c r="D83" s="923"/>
      <c r="E83" s="880">
        <f>E82/($D$84*E76)</f>
        <v>4275.7</v>
      </c>
      <c r="F83" s="974">
        <f t="shared" ref="F83:H83" si="37">F82/($D$84*F76)</f>
        <v>3006.3</v>
      </c>
      <c r="G83" s="974">
        <f t="shared" si="37"/>
        <v>2663.1</v>
      </c>
      <c r="H83" s="974">
        <f t="shared" si="37"/>
        <v>2587.1999999999998</v>
      </c>
      <c r="J83" s="464"/>
      <c r="P83" s="481"/>
      <c r="Q83" s="479"/>
      <c r="R83" s="479"/>
      <c r="S83" s="479"/>
      <c r="T83" s="479"/>
      <c r="U83" s="479"/>
      <c r="V83" s="479"/>
    </row>
    <row r="84" spans="1:25" x14ac:dyDescent="0.25">
      <c r="A84" s="923"/>
      <c r="B84" s="923"/>
      <c r="C84" s="923" t="s">
        <v>112</v>
      </c>
      <c r="D84" s="314">
        <v>61.6</v>
      </c>
      <c r="E84" s="880" t="s">
        <v>152</v>
      </c>
      <c r="F84" s="923"/>
      <c r="G84" s="880"/>
      <c r="H84" s="923"/>
      <c r="P84" s="481"/>
      <c r="Q84" s="479"/>
      <c r="R84" s="479"/>
      <c r="S84" s="479"/>
      <c r="T84" s="479"/>
      <c r="U84" s="479"/>
      <c r="V84" s="479"/>
    </row>
    <row r="86" spans="1:25" x14ac:dyDescent="0.25">
      <c r="A86" s="925" t="s">
        <v>869</v>
      </c>
      <c r="C86" s="925" t="s">
        <v>870</v>
      </c>
      <c r="D86" s="923"/>
      <c r="E86" s="923"/>
      <c r="F86" s="923"/>
      <c r="G86" s="923"/>
      <c r="H86" s="923"/>
      <c r="J86" s="29"/>
      <c r="K86" s="29"/>
      <c r="L86" s="29"/>
      <c r="M86" s="29"/>
      <c r="N86" s="595"/>
      <c r="P86" s="479"/>
      <c r="Q86" s="479"/>
    </row>
    <row r="87" spans="1:25" x14ac:dyDescent="0.25">
      <c r="A87" s="923"/>
      <c r="B87" s="923"/>
      <c r="C87" s="923"/>
      <c r="D87" s="923"/>
      <c r="E87" s="923">
        <v>1</v>
      </c>
      <c r="F87" s="923">
        <v>10</v>
      </c>
      <c r="G87" s="923">
        <v>50</v>
      </c>
      <c r="H87" s="923">
        <v>100</v>
      </c>
      <c r="J87" s="29"/>
      <c r="K87" s="29"/>
      <c r="L87" s="29"/>
      <c r="M87" s="461"/>
      <c r="N87" s="461"/>
      <c r="O87" s="461"/>
      <c r="Q87" s="479"/>
      <c r="R87" s="29"/>
      <c r="S87" s="29"/>
      <c r="T87" s="29"/>
      <c r="U87" s="461"/>
      <c r="V87" s="461"/>
      <c r="W87" s="461"/>
    </row>
    <row r="88" spans="1:25" x14ac:dyDescent="0.25">
      <c r="A88" s="923"/>
      <c r="B88" s="923"/>
      <c r="C88" s="923" t="s">
        <v>129</v>
      </c>
      <c r="D88" s="923"/>
      <c r="E88" s="880">
        <f>$E$87*E17*$D$95</f>
        <v>477730</v>
      </c>
      <c r="F88" s="880">
        <f>$F$87*F17*$D$95</f>
        <v>4026950</v>
      </c>
      <c r="G88" s="880">
        <f>$G$87*G17*$D$95</f>
        <v>19113500</v>
      </c>
      <c r="H88" s="880">
        <f>$H$87*H17*$D$95</f>
        <v>38227000</v>
      </c>
      <c r="J88" s="479"/>
      <c r="K88" s="479"/>
      <c r="L88" s="436"/>
      <c r="M88" s="479"/>
      <c r="O88" s="436"/>
      <c r="Q88" s="479"/>
      <c r="R88" s="479"/>
    </row>
    <row r="89" spans="1:25" ht="15.75" customHeight="1" x14ac:dyDescent="0.25">
      <c r="A89" s="923"/>
      <c r="B89" s="923"/>
      <c r="C89" s="923" t="s">
        <v>130</v>
      </c>
      <c r="D89" s="923"/>
      <c r="E89" s="880">
        <f t="shared" ref="E89:E90" si="38">$E$87*E18*$D$95</f>
        <v>246390</v>
      </c>
      <c r="F89" s="880">
        <f t="shared" ref="F89:F90" si="39">$F$87*F18*$D$95</f>
        <v>1737200</v>
      </c>
      <c r="G89" s="880">
        <f t="shared" ref="G89:G90" si="40">$G$87*G18*$D$95</f>
        <v>6804750</v>
      </c>
      <c r="H89" s="880">
        <f t="shared" ref="H89:H90" si="41">$H$87*H18*$D$95</f>
        <v>12233500</v>
      </c>
      <c r="J89" s="479"/>
      <c r="K89" s="479"/>
      <c r="L89" s="23"/>
      <c r="M89" s="479"/>
      <c r="O89" s="436"/>
      <c r="Q89" s="479"/>
      <c r="R89" s="481"/>
    </row>
    <row r="90" spans="1:25" ht="15.75" customHeight="1" x14ac:dyDescent="0.25">
      <c r="A90" s="923"/>
      <c r="B90" s="923"/>
      <c r="C90" s="923" t="s">
        <v>153</v>
      </c>
      <c r="D90" s="923"/>
      <c r="E90" s="880">
        <f t="shared" si="38"/>
        <v>111585</v>
      </c>
      <c r="F90" s="880">
        <f t="shared" si="39"/>
        <v>111800</v>
      </c>
      <c r="G90" s="880">
        <f t="shared" si="40"/>
        <v>107500</v>
      </c>
      <c r="H90" s="880">
        <f t="shared" si="41"/>
        <v>107500</v>
      </c>
      <c r="J90" s="481"/>
      <c r="K90" s="479"/>
      <c r="L90" s="23"/>
      <c r="M90" s="479"/>
      <c r="O90" s="436"/>
      <c r="Q90" s="479"/>
      <c r="R90" s="481"/>
    </row>
    <row r="91" spans="1:25" x14ac:dyDescent="0.25">
      <c r="A91" s="923"/>
      <c r="B91" s="923"/>
      <c r="C91" s="923" t="s">
        <v>111</v>
      </c>
      <c r="D91" s="923"/>
      <c r="E91" s="880">
        <f>0.1*SUM(E88:E90)</f>
        <v>83570.5</v>
      </c>
      <c r="F91" s="880">
        <f t="shared" ref="F91:H91" si="42">0.1*SUM(F88:F90)</f>
        <v>587595</v>
      </c>
      <c r="G91" s="880">
        <f t="shared" si="42"/>
        <v>2602575</v>
      </c>
      <c r="H91" s="880">
        <f t="shared" si="42"/>
        <v>5056800</v>
      </c>
      <c r="J91" s="481"/>
      <c r="K91" s="481"/>
      <c r="L91" s="23"/>
      <c r="M91" s="481"/>
      <c r="O91" s="436"/>
      <c r="Q91" s="479"/>
      <c r="R91" s="481"/>
    </row>
    <row r="92" spans="1:25" x14ac:dyDescent="0.25">
      <c r="A92" s="923"/>
      <c r="B92" s="923"/>
      <c r="C92" s="923"/>
      <c r="D92" s="923"/>
      <c r="E92" s="880"/>
      <c r="F92" s="880"/>
      <c r="G92" s="880"/>
      <c r="H92" s="880"/>
      <c r="J92" s="479"/>
      <c r="K92" s="481"/>
      <c r="L92" s="81"/>
      <c r="M92" s="481"/>
      <c r="O92" s="436"/>
      <c r="Q92" s="479"/>
      <c r="R92" s="479"/>
    </row>
    <row r="93" spans="1:25" s="611" customFormat="1" x14ac:dyDescent="0.25">
      <c r="A93" s="923"/>
      <c r="B93" s="923"/>
      <c r="C93" s="885" t="s">
        <v>509</v>
      </c>
      <c r="D93" s="885"/>
      <c r="E93" s="582">
        <f>SUM(E88:E91)</f>
        <v>919275.5</v>
      </c>
      <c r="F93" s="582">
        <f t="shared" ref="F93:H93" si="43">SUM(F88:F91)</f>
        <v>6463545</v>
      </c>
      <c r="G93" s="582">
        <f t="shared" si="43"/>
        <v>28628325</v>
      </c>
      <c r="H93" s="582">
        <f t="shared" si="43"/>
        <v>55624800</v>
      </c>
      <c r="I93" s="610"/>
      <c r="J93" s="479"/>
      <c r="K93" s="481"/>
      <c r="L93" s="81"/>
      <c r="M93" s="481"/>
      <c r="N93" s="610"/>
      <c r="O93" s="436"/>
      <c r="P93" s="610"/>
      <c r="Q93" s="479"/>
      <c r="R93" s="481"/>
      <c r="S93" s="610"/>
      <c r="T93" s="610"/>
      <c r="U93" s="610"/>
      <c r="V93" s="610"/>
      <c r="W93" s="610"/>
      <c r="X93" s="610"/>
      <c r="Y93" s="610"/>
    </row>
    <row r="94" spans="1:25" x14ac:dyDescent="0.25">
      <c r="A94" s="923"/>
      <c r="B94" s="882"/>
      <c r="C94" s="923" t="s">
        <v>185</v>
      </c>
      <c r="D94" s="923"/>
      <c r="E94" s="880">
        <f>E93/($D$95*E87)</f>
        <v>4275.7</v>
      </c>
      <c r="F94" s="974">
        <f t="shared" ref="F94:H94" si="44">F93/($D$95*F87)</f>
        <v>3006.3</v>
      </c>
      <c r="G94" s="974">
        <f t="shared" si="44"/>
        <v>2663.1</v>
      </c>
      <c r="H94" s="974">
        <f t="shared" si="44"/>
        <v>2587.1999999999998</v>
      </c>
      <c r="J94" s="481"/>
      <c r="K94" s="481"/>
      <c r="L94" s="81"/>
      <c r="M94" s="481"/>
      <c r="O94" s="436"/>
      <c r="Q94" s="479"/>
      <c r="R94" s="481"/>
    </row>
    <row r="95" spans="1:25" x14ac:dyDescent="0.25">
      <c r="A95" s="923"/>
      <c r="B95" s="923"/>
      <c r="C95" s="923" t="s">
        <v>112</v>
      </c>
      <c r="D95" s="314">
        <v>215</v>
      </c>
      <c r="E95" s="880" t="s">
        <v>152</v>
      </c>
      <c r="F95" s="923"/>
      <c r="G95" s="880"/>
      <c r="H95" s="923"/>
      <c r="J95" s="481"/>
      <c r="K95" s="481"/>
      <c r="L95" s="81"/>
      <c r="M95" s="481"/>
      <c r="O95" s="436"/>
      <c r="Q95" s="479"/>
      <c r="R95" s="481"/>
    </row>
    <row r="96" spans="1:25" x14ac:dyDescent="0.25">
      <c r="B96" s="595"/>
      <c r="E96" s="314"/>
      <c r="F96" s="63"/>
      <c r="G96" s="63"/>
      <c r="J96" s="479"/>
      <c r="K96" s="481"/>
      <c r="L96" s="81"/>
      <c r="M96" s="481"/>
      <c r="O96" s="436"/>
      <c r="Q96" s="479"/>
      <c r="R96" s="479"/>
    </row>
    <row r="97" spans="1:23" x14ac:dyDescent="0.25">
      <c r="B97" s="595"/>
      <c r="E97" s="314"/>
      <c r="G97" s="63"/>
      <c r="J97" s="479"/>
      <c r="K97" s="481"/>
      <c r="L97" s="81"/>
      <c r="M97" s="481"/>
      <c r="O97" s="436"/>
      <c r="Q97" s="479"/>
      <c r="R97" s="481"/>
    </row>
    <row r="98" spans="1:23" x14ac:dyDescent="0.25">
      <c r="B98" s="595"/>
      <c r="E98" s="314"/>
      <c r="G98" s="63"/>
      <c r="J98" s="481"/>
      <c r="K98" s="481"/>
      <c r="L98" s="81"/>
      <c r="M98" s="481"/>
      <c r="O98" s="436"/>
      <c r="Q98" s="479"/>
      <c r="R98" s="481"/>
    </row>
    <row r="99" spans="1:23" x14ac:dyDescent="0.25">
      <c r="G99" s="63"/>
      <c r="J99" s="461"/>
      <c r="K99" s="595"/>
      <c r="L99" s="595"/>
      <c r="M99" s="595"/>
      <c r="N99" s="578"/>
      <c r="O99" s="578"/>
      <c r="Q99" s="479"/>
      <c r="R99" s="461"/>
      <c r="S99" s="595"/>
      <c r="T99" s="595"/>
      <c r="U99" s="595"/>
      <c r="V99" s="595"/>
      <c r="W99" s="578"/>
    </row>
    <row r="100" spans="1:23" x14ac:dyDescent="0.25">
      <c r="E100" s="314"/>
      <c r="G100" s="63"/>
      <c r="J100" s="479"/>
      <c r="K100" s="479"/>
      <c r="L100" s="479"/>
      <c r="M100" s="479"/>
      <c r="P100" s="479"/>
      <c r="Q100" s="479"/>
      <c r="U100" s="436"/>
    </row>
    <row r="101" spans="1:23" x14ac:dyDescent="0.25">
      <c r="J101" s="481"/>
      <c r="K101" s="479"/>
      <c r="L101" s="479"/>
      <c r="M101" s="479"/>
      <c r="P101" s="479"/>
      <c r="Q101" s="479"/>
      <c r="R101" s="479"/>
      <c r="S101" s="479"/>
      <c r="T101" s="479"/>
      <c r="U101" s="479"/>
    </row>
    <row r="102" spans="1:23" s="745" customFormat="1" x14ac:dyDescent="0.25">
      <c r="A102" s="595" t="s">
        <v>722</v>
      </c>
      <c r="J102" s="481"/>
      <c r="K102" s="479"/>
      <c r="L102" s="479"/>
      <c r="M102" s="479"/>
      <c r="P102" s="479"/>
      <c r="Q102" s="479"/>
      <c r="R102" s="479"/>
      <c r="S102" s="479"/>
      <c r="T102" s="479"/>
      <c r="U102" s="479"/>
    </row>
    <row r="103" spans="1:23" s="745" customFormat="1" x14ac:dyDescent="0.25">
      <c r="A103" s="745" t="s">
        <v>27</v>
      </c>
      <c r="B103" s="745" t="s">
        <v>721</v>
      </c>
      <c r="J103" s="481"/>
      <c r="K103" s="479"/>
      <c r="L103" s="479"/>
      <c r="M103" s="479"/>
      <c r="P103" s="479"/>
      <c r="Q103" s="479"/>
      <c r="R103" s="479"/>
      <c r="S103" s="479"/>
      <c r="T103" s="479"/>
      <c r="U103" s="479"/>
    </row>
    <row r="104" spans="1:23" s="745" customFormat="1" x14ac:dyDescent="0.25">
      <c r="A104" s="745" t="s">
        <v>28</v>
      </c>
      <c r="B104" s="745" t="s">
        <v>721</v>
      </c>
      <c r="J104" s="481"/>
      <c r="K104" s="479"/>
      <c r="L104" s="479"/>
      <c r="M104" s="479"/>
      <c r="P104" s="479"/>
      <c r="Q104" s="479"/>
      <c r="R104" s="479"/>
      <c r="S104" s="479"/>
      <c r="T104" s="479"/>
      <c r="U104" s="479"/>
    </row>
    <row r="105" spans="1:23" s="745" customFormat="1" x14ac:dyDescent="0.25">
      <c r="A105" s="745" t="s">
        <v>29</v>
      </c>
      <c r="B105" s="745" t="s">
        <v>721</v>
      </c>
      <c r="J105" s="481"/>
      <c r="K105" s="479"/>
      <c r="L105" s="479"/>
      <c r="M105" s="479"/>
      <c r="P105" s="479"/>
      <c r="Q105" s="479"/>
      <c r="R105" s="479"/>
      <c r="S105" s="479"/>
      <c r="T105" s="479"/>
      <c r="U105" s="479"/>
    </row>
    <row r="106" spans="1:23" s="745" customFormat="1" x14ac:dyDescent="0.25">
      <c r="A106" s="745" t="s">
        <v>30</v>
      </c>
      <c r="B106" s="745" t="s">
        <v>721</v>
      </c>
      <c r="J106" s="481"/>
      <c r="K106" s="479"/>
      <c r="L106" s="479"/>
      <c r="M106" s="479"/>
      <c r="P106" s="479"/>
      <c r="Q106" s="479"/>
      <c r="R106" s="479"/>
      <c r="S106" s="479"/>
      <c r="T106" s="479"/>
      <c r="U106" s="479"/>
    </row>
    <row r="107" spans="1:23" s="745" customFormat="1" x14ac:dyDescent="0.25">
      <c r="J107" s="481"/>
      <c r="K107" s="479"/>
      <c r="L107" s="479"/>
      <c r="M107" s="479"/>
      <c r="P107" s="479"/>
      <c r="Q107" s="479"/>
      <c r="R107" s="479"/>
      <c r="S107" s="479"/>
      <c r="T107" s="479"/>
      <c r="U107" s="479"/>
    </row>
    <row r="108" spans="1:23" s="745" customFormat="1" x14ac:dyDescent="0.25">
      <c r="J108" s="481"/>
      <c r="K108" s="479"/>
      <c r="L108" s="479"/>
      <c r="M108" s="479"/>
      <c r="P108" s="479"/>
      <c r="Q108" s="479"/>
      <c r="R108" s="479"/>
      <c r="S108" s="479"/>
      <c r="T108" s="479"/>
      <c r="U108" s="479"/>
    </row>
    <row r="109" spans="1:23" s="745" customFormat="1" x14ac:dyDescent="0.25">
      <c r="J109" s="481"/>
      <c r="K109" s="479"/>
      <c r="L109" s="479"/>
      <c r="M109" s="479"/>
      <c r="P109" s="479"/>
      <c r="Q109" s="479"/>
      <c r="R109" s="479"/>
      <c r="S109" s="479"/>
      <c r="T109" s="479"/>
      <c r="U109" s="479"/>
    </row>
    <row r="111" spans="1:23" x14ac:dyDescent="0.25">
      <c r="A111" s="649" t="s">
        <v>27</v>
      </c>
      <c r="B111" s="649" t="s">
        <v>249</v>
      </c>
      <c r="C111" s="650"/>
      <c r="D111" s="650"/>
      <c r="E111" s="650"/>
      <c r="F111" s="650"/>
      <c r="G111" s="650"/>
      <c r="H111" s="650"/>
      <c r="I111" s="650"/>
      <c r="K111" s="687"/>
      <c r="L111" s="688"/>
      <c r="M111" s="481"/>
      <c r="N111" s="689"/>
      <c r="O111" s="689"/>
      <c r="P111" s="689"/>
      <c r="Q111" s="479"/>
      <c r="R111" s="479"/>
    </row>
    <row r="112" spans="1:23" x14ac:dyDescent="0.25">
      <c r="A112" s="647"/>
      <c r="B112" s="647"/>
      <c r="C112" s="647"/>
      <c r="D112" s="647"/>
      <c r="E112" s="647"/>
      <c r="F112" s="651" t="s">
        <v>84</v>
      </c>
      <c r="G112" s="651" t="s">
        <v>106</v>
      </c>
      <c r="H112" s="651" t="s">
        <v>108</v>
      </c>
      <c r="I112" s="651" t="s">
        <v>107</v>
      </c>
      <c r="K112" s="481"/>
      <c r="L112" s="481"/>
      <c r="M112" s="481"/>
      <c r="N112" s="689"/>
      <c r="O112" s="689"/>
      <c r="P112" s="689"/>
      <c r="Q112" s="479"/>
      <c r="R112" s="479"/>
    </row>
    <row r="113" spans="1:22" s="611" customFormat="1" x14ac:dyDescent="0.25">
      <c r="A113" s="647"/>
      <c r="B113" s="647"/>
      <c r="C113" s="647" t="s">
        <v>129</v>
      </c>
      <c r="D113" s="647"/>
      <c r="E113" s="652">
        <f>I113/$E$120</f>
        <v>1714.6738050306349</v>
      </c>
      <c r="F113" s="653">
        <v>440328.23313186696</v>
      </c>
      <c r="G113" s="654">
        <v>371343.60666105297</v>
      </c>
      <c r="H113" s="654">
        <v>352262.58650549361</v>
      </c>
      <c r="I113" s="654">
        <v>352262.58650549361</v>
      </c>
      <c r="K113" s="402"/>
      <c r="L113" s="402"/>
      <c r="M113" s="402"/>
      <c r="N113" s="689"/>
      <c r="O113" s="689"/>
      <c r="P113" s="689"/>
      <c r="Q113" s="482"/>
      <c r="R113" s="482"/>
    </row>
    <row r="114" spans="1:22" x14ac:dyDescent="0.25">
      <c r="A114" s="647"/>
      <c r="B114" s="647"/>
      <c r="C114" s="647" t="s">
        <v>130</v>
      </c>
      <c r="D114" s="647"/>
      <c r="E114" s="652">
        <f>F114/$E$120</f>
        <v>1263.1753228946507</v>
      </c>
      <c r="F114" s="653">
        <v>259506.73833547701</v>
      </c>
      <c r="G114" s="654">
        <v>182871.29727293825</v>
      </c>
      <c r="H114" s="654">
        <v>143185.79754117693</v>
      </c>
      <c r="I114" s="654">
        <v>128867.21778705923</v>
      </c>
      <c r="K114" s="481"/>
      <c r="L114" s="481"/>
      <c r="M114" s="481"/>
      <c r="N114" s="481"/>
      <c r="O114" s="481"/>
      <c r="P114" s="481"/>
      <c r="Q114" s="479"/>
      <c r="R114" s="479"/>
    </row>
    <row r="115" spans="1:22" x14ac:dyDescent="0.25">
      <c r="A115" s="647"/>
      <c r="B115" s="647"/>
      <c r="C115" s="647" t="s">
        <v>153</v>
      </c>
      <c r="D115" s="647"/>
      <c r="E115" s="652">
        <f>F115/$E$120</f>
        <v>550.58179688020516</v>
      </c>
      <c r="F115" s="653">
        <v>113111.52435106934</v>
      </c>
      <c r="G115" s="653">
        <v>11311.152435106933</v>
      </c>
      <c r="H115" s="653">
        <v>2262.2304870213866</v>
      </c>
      <c r="I115" s="653">
        <v>1131.1152435106933</v>
      </c>
      <c r="K115" s="481"/>
      <c r="L115" s="481"/>
      <c r="M115" s="481"/>
      <c r="N115" s="481"/>
      <c r="O115" s="481"/>
      <c r="P115" s="481"/>
      <c r="Q115" s="479"/>
      <c r="R115" s="479"/>
    </row>
    <row r="116" spans="1:22" x14ac:dyDescent="0.25">
      <c r="A116" s="647"/>
      <c r="B116" s="647"/>
      <c r="C116" s="650" t="s">
        <v>111</v>
      </c>
      <c r="D116" s="650"/>
      <c r="E116" s="652">
        <f>F116/$E$120</f>
        <v>395.70993760631507</v>
      </c>
      <c r="F116" s="653">
        <v>81294.649581841368</v>
      </c>
      <c r="G116" s="653">
        <v>56552.605636909815</v>
      </c>
      <c r="H116" s="653">
        <v>49771.061453369191</v>
      </c>
      <c r="I116" s="653">
        <v>48226.091953606359</v>
      </c>
      <c r="K116" s="481"/>
      <c r="L116" s="481"/>
      <c r="M116" s="481"/>
      <c r="N116" s="481"/>
      <c r="O116" s="481"/>
      <c r="P116" s="481"/>
      <c r="Q116" s="479"/>
      <c r="R116" s="479"/>
    </row>
    <row r="117" spans="1:22" x14ac:dyDescent="0.25">
      <c r="A117" s="647"/>
      <c r="B117" s="647"/>
      <c r="C117" s="650"/>
      <c r="D117" s="650"/>
      <c r="E117" s="650"/>
      <c r="F117" s="647"/>
      <c r="G117" s="647"/>
      <c r="H117" s="647"/>
      <c r="I117" s="647"/>
      <c r="J117" s="407"/>
      <c r="K117" s="481"/>
      <c r="L117" s="481"/>
      <c r="M117" s="481"/>
      <c r="N117" s="481"/>
      <c r="O117" s="481"/>
      <c r="P117" s="481"/>
      <c r="Q117" s="479"/>
      <c r="R117" s="479"/>
    </row>
    <row r="118" spans="1:22" x14ac:dyDescent="0.25">
      <c r="A118" s="655"/>
      <c r="B118" s="655"/>
      <c r="C118" s="656" t="s">
        <v>80</v>
      </c>
      <c r="D118" s="656"/>
      <c r="E118" s="656"/>
      <c r="F118" s="657">
        <f>SUM(F113:F116)</f>
        <v>894241.14540025475</v>
      </c>
      <c r="G118" s="657">
        <f>SUM(G113:G116)</f>
        <v>622078.66200600797</v>
      </c>
      <c r="H118" s="657">
        <f>SUM(H113:H116)</f>
        <v>547481.67598706111</v>
      </c>
      <c r="I118" s="657">
        <f>SUM(I113:I116)</f>
        <v>530487.01148966991</v>
      </c>
      <c r="J118" s="464"/>
      <c r="K118" s="481"/>
      <c r="L118" s="481"/>
      <c r="M118" s="481"/>
      <c r="N118" s="481"/>
      <c r="O118" s="481"/>
      <c r="P118" s="481"/>
      <c r="Q118" s="479"/>
      <c r="R118" s="479"/>
    </row>
    <row r="119" spans="1:22" x14ac:dyDescent="0.25">
      <c r="A119" s="647"/>
      <c r="B119" s="647"/>
      <c r="C119" s="658" t="s">
        <v>185</v>
      </c>
      <c r="D119" s="650"/>
      <c r="E119" s="650"/>
      <c r="F119" s="659">
        <f>F118/$E$120</f>
        <v>4352.8093136694642</v>
      </c>
      <c r="G119" s="659">
        <f>G118/$E$120</f>
        <v>3028.0308703563474</v>
      </c>
      <c r="H119" s="659">
        <f>H118/$E$120</f>
        <v>2664.9224882547755</v>
      </c>
      <c r="I119" s="659">
        <f>I118/$E$120</f>
        <v>2582.199238170122</v>
      </c>
      <c r="K119" s="481"/>
      <c r="L119" s="481"/>
      <c r="M119" s="481"/>
      <c r="N119" s="690"/>
      <c r="O119" s="356"/>
      <c r="P119" s="356"/>
      <c r="Q119" s="479"/>
      <c r="R119" s="479"/>
    </row>
    <row r="120" spans="1:22" x14ac:dyDescent="0.25">
      <c r="A120" s="647"/>
      <c r="B120" s="647"/>
      <c r="C120" s="650" t="s">
        <v>112</v>
      </c>
      <c r="D120" s="650"/>
      <c r="E120" s="659">
        <v>205.44</v>
      </c>
      <c r="F120" s="660" t="s">
        <v>152</v>
      </c>
      <c r="G120" s="661"/>
      <c r="H120" s="661"/>
      <c r="I120" s="661"/>
      <c r="K120" s="687"/>
      <c r="L120" s="688"/>
      <c r="M120" s="481"/>
      <c r="N120" s="689"/>
      <c r="O120" s="689"/>
      <c r="P120" s="689"/>
      <c r="Q120" s="479"/>
      <c r="R120" s="479"/>
    </row>
    <row r="121" spans="1:22" x14ac:dyDescent="0.25">
      <c r="A121" s="647"/>
      <c r="B121" s="647"/>
      <c r="C121" s="650"/>
      <c r="D121" s="647"/>
      <c r="E121" s="647"/>
      <c r="F121" s="679">
        <f>F114/F113</f>
        <v>0.58934839696677233</v>
      </c>
      <c r="G121" s="679">
        <f t="shared" ref="G121:I121" si="45">G114/G113</f>
        <v>0.4924584508596524</v>
      </c>
      <c r="H121" s="679">
        <f t="shared" si="45"/>
        <v>0.4064746102094039</v>
      </c>
      <c r="I121" s="679">
        <f t="shared" si="45"/>
        <v>0.36582714918846349</v>
      </c>
      <c r="K121" s="687"/>
      <c r="L121" s="688"/>
      <c r="M121" s="481"/>
      <c r="N121" s="689"/>
      <c r="O121" s="689"/>
      <c r="P121" s="689"/>
      <c r="Q121" s="479"/>
      <c r="R121" s="479"/>
      <c r="S121" s="479"/>
      <c r="T121" s="479"/>
      <c r="U121" s="479"/>
      <c r="V121" s="479"/>
    </row>
    <row r="122" spans="1:22" x14ac:dyDescent="0.25">
      <c r="A122" s="647"/>
      <c r="B122" s="647"/>
      <c r="C122" s="650"/>
      <c r="D122" s="647"/>
      <c r="E122" s="647"/>
      <c r="F122" s="647"/>
      <c r="G122" s="647"/>
      <c r="H122" s="647"/>
      <c r="I122" s="647"/>
      <c r="K122" s="687"/>
      <c r="L122" s="688"/>
      <c r="M122" s="481"/>
      <c r="N122" s="689"/>
      <c r="O122" s="689"/>
      <c r="P122" s="689"/>
      <c r="Q122" s="479"/>
      <c r="R122" s="479"/>
      <c r="S122" s="479"/>
      <c r="T122" s="479"/>
      <c r="U122" s="479"/>
      <c r="V122" s="479"/>
    </row>
    <row r="123" spans="1:22" s="611" customFormat="1" x14ac:dyDescent="0.25">
      <c r="A123" s="647"/>
      <c r="B123" s="647"/>
      <c r="C123" s="647"/>
      <c r="D123" s="647"/>
      <c r="E123" s="647"/>
      <c r="F123" s="647"/>
      <c r="G123" s="647"/>
      <c r="H123" s="647"/>
      <c r="I123" s="647"/>
      <c r="K123" s="687"/>
      <c r="L123" s="688"/>
      <c r="M123" s="402"/>
      <c r="N123" s="689"/>
      <c r="O123" s="689"/>
      <c r="P123" s="689"/>
    </row>
    <row r="124" spans="1:22" x14ac:dyDescent="0.25">
      <c r="A124" s="662" t="s">
        <v>28</v>
      </c>
      <c r="B124" s="649" t="s">
        <v>250</v>
      </c>
      <c r="C124" s="647"/>
      <c r="D124" s="647"/>
      <c r="E124" s="647"/>
      <c r="F124" s="647"/>
      <c r="G124" s="647"/>
      <c r="H124" s="647"/>
      <c r="I124" s="647"/>
      <c r="K124" s="689"/>
      <c r="L124" s="689"/>
      <c r="M124" s="689"/>
      <c r="N124" s="481"/>
      <c r="O124" s="481"/>
      <c r="P124" s="481"/>
    </row>
    <row r="125" spans="1:22" x14ac:dyDescent="0.25">
      <c r="A125" s="647"/>
      <c r="B125" s="647"/>
      <c r="C125" s="647"/>
      <c r="D125" s="647"/>
      <c r="E125" s="647"/>
      <c r="F125" s="651" t="s">
        <v>84</v>
      </c>
      <c r="G125" s="651" t="s">
        <v>106</v>
      </c>
      <c r="H125" s="651" t="s">
        <v>108</v>
      </c>
      <c r="I125" s="651" t="s">
        <v>107</v>
      </c>
      <c r="K125" s="689"/>
      <c r="L125" s="689"/>
      <c r="M125" s="689"/>
      <c r="N125" s="481"/>
      <c r="O125" s="481"/>
      <c r="P125" s="481"/>
    </row>
    <row r="126" spans="1:22" x14ac:dyDescent="0.25">
      <c r="A126" s="647"/>
      <c r="B126" s="647"/>
      <c r="C126" s="647" t="s">
        <v>131</v>
      </c>
      <c r="D126" s="647"/>
      <c r="E126" s="652">
        <f>I126/$E$133</f>
        <v>1805.9744065159227</v>
      </c>
      <c r="F126" s="653">
        <v>504860.14534152613</v>
      </c>
      <c r="G126" s="654">
        <v>425765.53835102671</v>
      </c>
      <c r="H126" s="654">
        <v>403888.11627322092</v>
      </c>
      <c r="I126" s="654">
        <v>403888.11627322092</v>
      </c>
      <c r="K126" s="481"/>
      <c r="L126" s="481"/>
      <c r="M126" s="481"/>
      <c r="N126" s="481"/>
      <c r="O126" s="481"/>
      <c r="P126" s="481"/>
    </row>
    <row r="127" spans="1:22" x14ac:dyDescent="0.25">
      <c r="A127" s="647"/>
      <c r="B127" s="647"/>
      <c r="C127" s="647" t="s">
        <v>130</v>
      </c>
      <c r="D127" s="647"/>
      <c r="E127" s="652">
        <f>F127/$E$133</f>
        <v>1005.3420551798945</v>
      </c>
      <c r="F127" s="653">
        <v>224834.69722043158</v>
      </c>
      <c r="G127" s="654">
        <v>158438.3242469648</v>
      </c>
      <c r="H127" s="654">
        <v>124055.10409066474</v>
      </c>
      <c r="I127" s="654">
        <v>111649.59368159824</v>
      </c>
      <c r="K127" s="481"/>
      <c r="L127" s="481"/>
      <c r="M127" s="481"/>
      <c r="N127" s="481"/>
      <c r="O127" s="481"/>
      <c r="P127" s="481"/>
    </row>
    <row r="128" spans="1:22" x14ac:dyDescent="0.25">
      <c r="A128" s="647"/>
      <c r="B128" s="647"/>
      <c r="C128" s="647" t="s">
        <v>154</v>
      </c>
      <c r="D128" s="647"/>
      <c r="E128" s="652">
        <f>F128/$E$133</f>
        <v>482.48383112550499</v>
      </c>
      <c r="F128" s="653">
        <v>107902.68399290793</v>
      </c>
      <c r="G128" s="653">
        <v>10790.268399290793</v>
      </c>
      <c r="H128" s="653">
        <v>2158.0536798581588</v>
      </c>
      <c r="I128" s="653">
        <v>1079.0268399290794</v>
      </c>
      <c r="K128" s="481"/>
      <c r="L128" s="481"/>
      <c r="M128" s="481"/>
      <c r="N128" s="481"/>
      <c r="O128" s="481"/>
      <c r="P128" s="481"/>
    </row>
    <row r="129" spans="1:16" x14ac:dyDescent="0.25">
      <c r="A129" s="647"/>
      <c r="B129" s="647"/>
      <c r="C129" s="647" t="s">
        <v>111</v>
      </c>
      <c r="D129" s="647"/>
      <c r="E129" s="652">
        <f>F129/$E$133</f>
        <v>374.52938944503023</v>
      </c>
      <c r="F129" s="653">
        <v>83759.752655486562</v>
      </c>
      <c r="G129" s="653">
        <v>59499.413099728226</v>
      </c>
      <c r="H129" s="653">
        <v>53010.127404374376</v>
      </c>
      <c r="I129" s="653">
        <v>51661.673679474829</v>
      </c>
      <c r="K129" s="481"/>
      <c r="L129" s="481"/>
      <c r="M129" s="481"/>
      <c r="N129" s="481"/>
      <c r="O129" s="481"/>
      <c r="P129" s="481"/>
    </row>
    <row r="130" spans="1:16" x14ac:dyDescent="0.25">
      <c r="A130" s="647"/>
      <c r="B130" s="647"/>
      <c r="C130" s="647"/>
      <c r="D130" s="647"/>
      <c r="E130" s="647"/>
      <c r="F130" s="663"/>
      <c r="G130" s="663"/>
      <c r="H130" s="663"/>
      <c r="I130" s="663"/>
      <c r="K130" s="463"/>
      <c r="L130" s="463"/>
      <c r="M130" s="463"/>
      <c r="N130" s="481"/>
      <c r="O130" s="481"/>
      <c r="P130" s="481"/>
    </row>
    <row r="131" spans="1:16" x14ac:dyDescent="0.25">
      <c r="A131" s="655"/>
      <c r="B131" s="655"/>
      <c r="C131" s="656" t="s">
        <v>80</v>
      </c>
      <c r="D131" s="656"/>
      <c r="E131" s="656"/>
      <c r="F131" s="664">
        <f>SUM(F126:F129)</f>
        <v>921357.27921035211</v>
      </c>
      <c r="G131" s="664">
        <f t="shared" ref="G131:I131" si="46">SUM(G126:G129)</f>
        <v>654493.5440970104</v>
      </c>
      <c r="H131" s="664">
        <f t="shared" si="46"/>
        <v>583111.40144811815</v>
      </c>
      <c r="I131" s="664">
        <f t="shared" si="46"/>
        <v>568278.41047422308</v>
      </c>
      <c r="K131" s="463"/>
      <c r="L131" s="463"/>
      <c r="M131" s="463"/>
      <c r="N131" s="481"/>
      <c r="O131" s="481"/>
      <c r="P131" s="481"/>
    </row>
    <row r="132" spans="1:16" x14ac:dyDescent="0.25">
      <c r="A132" s="647"/>
      <c r="B132" s="647"/>
      <c r="C132" s="658" t="s">
        <v>185</v>
      </c>
      <c r="D132" s="647"/>
      <c r="E132" s="647"/>
      <c r="F132" s="665">
        <f>F131/$E$133</f>
        <v>4119.8232838953327</v>
      </c>
      <c r="G132" s="665">
        <f>G131/$E$133</f>
        <v>2926.5495622295225</v>
      </c>
      <c r="H132" s="665">
        <f>H131/$E$133</f>
        <v>2607.3663094621634</v>
      </c>
      <c r="I132" s="665">
        <f>I131/$E$133</f>
        <v>2541.041005518794</v>
      </c>
      <c r="K132" s="463"/>
      <c r="L132" s="463"/>
      <c r="M132" s="463"/>
      <c r="N132" s="481"/>
      <c r="O132" s="481"/>
      <c r="P132" s="481"/>
    </row>
    <row r="133" spans="1:16" x14ac:dyDescent="0.25">
      <c r="A133" s="647"/>
      <c r="B133" s="647"/>
      <c r="C133" s="650" t="s">
        <v>112</v>
      </c>
      <c r="D133" s="650"/>
      <c r="E133" s="666">
        <v>223.64</v>
      </c>
      <c r="F133" s="667" t="s">
        <v>152</v>
      </c>
      <c r="G133" s="667"/>
      <c r="H133" s="667"/>
      <c r="I133" s="668"/>
      <c r="K133" s="463"/>
      <c r="L133" s="463"/>
      <c r="M133" s="463"/>
      <c r="N133" s="481"/>
      <c r="O133" s="481"/>
      <c r="P133" s="481"/>
    </row>
    <row r="134" spans="1:16" x14ac:dyDescent="0.25">
      <c r="A134" s="647"/>
      <c r="B134" s="647"/>
      <c r="C134" s="650"/>
      <c r="D134" s="650"/>
      <c r="E134" s="650"/>
      <c r="F134" s="669"/>
      <c r="G134" s="667"/>
      <c r="H134" s="667"/>
      <c r="I134" s="667"/>
      <c r="K134" s="481"/>
      <c r="L134" s="481"/>
      <c r="M134" s="481"/>
      <c r="N134" s="481"/>
      <c r="O134" s="481"/>
      <c r="P134" s="481"/>
    </row>
    <row r="135" spans="1:16" s="611" customFormat="1" x14ac:dyDescent="0.25">
      <c r="A135" s="647"/>
      <c r="B135" s="647"/>
      <c r="C135" s="647"/>
      <c r="D135" s="647"/>
      <c r="E135" s="647"/>
      <c r="F135" s="647"/>
      <c r="G135" s="647"/>
      <c r="H135" s="647"/>
      <c r="I135" s="647"/>
      <c r="K135" s="402"/>
      <c r="L135" s="402"/>
      <c r="M135" s="402"/>
      <c r="N135" s="402"/>
      <c r="O135" s="402"/>
      <c r="P135" s="402"/>
    </row>
    <row r="136" spans="1:16" x14ac:dyDescent="0.25">
      <c r="A136" s="662" t="s">
        <v>29</v>
      </c>
      <c r="B136" s="649" t="s">
        <v>251</v>
      </c>
      <c r="C136" s="647"/>
      <c r="D136" s="647"/>
      <c r="E136" s="647"/>
      <c r="F136" s="647"/>
      <c r="G136" s="647"/>
      <c r="H136" s="647"/>
      <c r="I136" s="647"/>
      <c r="K136" s="481"/>
      <c r="L136" s="481"/>
      <c r="M136" s="481"/>
      <c r="N136" s="481"/>
      <c r="O136" s="481"/>
      <c r="P136" s="481"/>
    </row>
    <row r="137" spans="1:16" x14ac:dyDescent="0.25">
      <c r="A137" s="647"/>
      <c r="B137" s="647"/>
      <c r="C137" s="647"/>
      <c r="D137" s="647"/>
      <c r="E137" s="647"/>
      <c r="F137" s="651" t="s">
        <v>84</v>
      </c>
      <c r="G137" s="651" t="s">
        <v>106</v>
      </c>
      <c r="H137" s="651" t="s">
        <v>108</v>
      </c>
      <c r="I137" s="651" t="s">
        <v>107</v>
      </c>
      <c r="K137" s="481"/>
      <c r="L137" s="481"/>
      <c r="M137" s="481"/>
      <c r="N137" s="481"/>
      <c r="O137" s="481"/>
      <c r="P137" s="481"/>
    </row>
    <row r="138" spans="1:16" x14ac:dyDescent="0.25">
      <c r="A138" s="647"/>
      <c r="B138" s="647"/>
      <c r="C138" s="647" t="s">
        <v>129</v>
      </c>
      <c r="D138" s="647"/>
      <c r="E138" s="652">
        <f>I138/$E$145</f>
        <v>1812.0570969883713</v>
      </c>
      <c r="F138" s="653">
        <v>554330.91668245511</v>
      </c>
      <c r="G138" s="654">
        <v>467485.90345998685</v>
      </c>
      <c r="H138" s="654">
        <v>443464.73334596411</v>
      </c>
      <c r="I138" s="654">
        <v>443464.73334596411</v>
      </c>
      <c r="K138" s="481"/>
      <c r="L138" s="481"/>
      <c r="M138" s="481"/>
      <c r="N138" s="481"/>
      <c r="O138" s="481"/>
      <c r="P138" s="481"/>
    </row>
    <row r="139" spans="1:16" x14ac:dyDescent="0.25">
      <c r="A139" s="647"/>
      <c r="B139" s="647"/>
      <c r="C139" s="647" t="s">
        <v>130</v>
      </c>
      <c r="D139" s="647"/>
      <c r="E139" s="652">
        <f>F139/$E$145</f>
        <v>1170.3715131460065</v>
      </c>
      <c r="F139" s="653">
        <v>286425.02041222213</v>
      </c>
      <c r="G139" s="654">
        <v>201840.28896582269</v>
      </c>
      <c r="H139" s="654">
        <v>158038.26616037099</v>
      </c>
      <c r="I139" s="654">
        <v>142234.43954433387</v>
      </c>
      <c r="K139" s="481"/>
      <c r="L139" s="481"/>
      <c r="M139" s="481"/>
      <c r="N139" s="481"/>
      <c r="O139" s="481"/>
      <c r="P139" s="481"/>
    </row>
    <row r="140" spans="1:16" x14ac:dyDescent="0.25">
      <c r="A140" s="647"/>
      <c r="B140" s="647"/>
      <c r="C140" s="647" t="s">
        <v>155</v>
      </c>
      <c r="D140" s="647"/>
      <c r="E140" s="652">
        <f>F140/$E$145</f>
        <v>523.74578548913303</v>
      </c>
      <c r="F140" s="653">
        <v>128176.30608275552</v>
      </c>
      <c r="G140" s="653">
        <v>12817.630608275551</v>
      </c>
      <c r="H140" s="653">
        <v>2563.5261216551107</v>
      </c>
      <c r="I140" s="653">
        <v>1281.7630608275554</v>
      </c>
      <c r="K140" s="481"/>
      <c r="L140" s="481"/>
      <c r="M140" s="481"/>
      <c r="N140" s="481"/>
      <c r="O140" s="481"/>
      <c r="P140" s="481"/>
    </row>
    <row r="141" spans="1:16" x14ac:dyDescent="0.25">
      <c r="A141" s="647"/>
      <c r="B141" s="647"/>
      <c r="C141" s="650" t="s">
        <v>111</v>
      </c>
      <c r="D141" s="650"/>
      <c r="E141" s="652">
        <f>F141/$E$145</f>
        <v>395.91886698706037</v>
      </c>
      <c r="F141" s="653">
        <v>96893.224317743283</v>
      </c>
      <c r="G141" s="653">
        <v>68214.382303408507</v>
      </c>
      <c r="H141" s="653">
        <v>60406.652562799027</v>
      </c>
      <c r="I141" s="653">
        <v>58698.093595112558</v>
      </c>
      <c r="K141" s="481"/>
      <c r="L141" s="481"/>
      <c r="M141" s="481"/>
      <c r="N141" s="481"/>
      <c r="O141" s="481"/>
      <c r="P141" s="481"/>
    </row>
    <row r="142" spans="1:16" x14ac:dyDescent="0.25">
      <c r="A142" s="647"/>
      <c r="B142" s="647"/>
      <c r="C142" s="650"/>
      <c r="D142" s="650"/>
      <c r="E142" s="650"/>
      <c r="F142" s="670"/>
      <c r="G142" s="670"/>
      <c r="H142" s="670"/>
      <c r="I142" s="670"/>
      <c r="K142" s="481"/>
      <c r="L142" s="481"/>
      <c r="M142" s="481"/>
      <c r="N142" s="481"/>
      <c r="O142" s="481"/>
      <c r="P142" s="481"/>
    </row>
    <row r="143" spans="1:16" x14ac:dyDescent="0.25">
      <c r="A143" s="655"/>
      <c r="B143" s="655"/>
      <c r="C143" s="656" t="s">
        <v>80</v>
      </c>
      <c r="D143" s="656"/>
      <c r="E143" s="656"/>
      <c r="F143" s="664">
        <f>SUM(F138:F141)</f>
        <v>1065825.467495176</v>
      </c>
      <c r="G143" s="664">
        <f t="shared" ref="G143:I143" si="47">SUM(G138:G141)</f>
        <v>750358.20533749356</v>
      </c>
      <c r="H143" s="664">
        <f t="shared" si="47"/>
        <v>664473.1781907893</v>
      </c>
      <c r="I143" s="664">
        <f t="shared" si="47"/>
        <v>645679.02954623802</v>
      </c>
      <c r="K143" s="481"/>
      <c r="L143" s="481"/>
      <c r="M143" s="481"/>
      <c r="N143" s="481"/>
      <c r="O143" s="481"/>
      <c r="P143" s="481"/>
    </row>
    <row r="144" spans="1:16" x14ac:dyDescent="0.25">
      <c r="A144" s="647"/>
      <c r="B144" s="647"/>
      <c r="C144" s="658" t="s">
        <v>185</v>
      </c>
      <c r="D144" s="650"/>
      <c r="E144" s="650"/>
      <c r="F144" s="667">
        <f>F143/$E$145</f>
        <v>4355.1075368576639</v>
      </c>
      <c r="G144" s="667">
        <f>G143/$E$145</f>
        <v>3066.065481704301</v>
      </c>
      <c r="H144" s="667">
        <f>H143/$E$145</f>
        <v>2715.1276026265245</v>
      </c>
      <c r="I144" s="667">
        <f>I143/$E$145</f>
        <v>2638.3321601202879</v>
      </c>
      <c r="K144" s="481"/>
      <c r="L144" s="481"/>
      <c r="M144" s="481"/>
      <c r="N144" s="481"/>
      <c r="O144" s="481"/>
      <c r="P144" s="481"/>
    </row>
    <row r="145" spans="1:16" x14ac:dyDescent="0.25">
      <c r="A145" s="647"/>
      <c r="B145" s="647"/>
      <c r="C145" s="650" t="s">
        <v>112</v>
      </c>
      <c r="D145" s="650"/>
      <c r="E145" s="666">
        <v>244.73</v>
      </c>
      <c r="F145" s="659" t="s">
        <v>152</v>
      </c>
      <c r="G145" s="667"/>
      <c r="H145" s="667"/>
      <c r="I145" s="667"/>
      <c r="K145" s="481"/>
      <c r="L145" s="481"/>
      <c r="M145" s="481"/>
      <c r="N145" s="481"/>
      <c r="O145" s="481"/>
      <c r="P145" s="481"/>
    </row>
    <row r="146" spans="1:16" x14ac:dyDescent="0.25">
      <c r="A146" s="647"/>
      <c r="B146" s="647"/>
      <c r="C146" s="647"/>
      <c r="D146" s="647"/>
      <c r="E146" s="647"/>
      <c r="F146" s="647"/>
      <c r="G146" s="647"/>
      <c r="H146" s="647"/>
      <c r="I146" s="647"/>
      <c r="K146" s="481"/>
      <c r="L146" s="481"/>
      <c r="M146" s="481"/>
      <c r="N146" s="481"/>
      <c r="O146" s="481"/>
      <c r="P146" s="481"/>
    </row>
    <row r="147" spans="1:16" x14ac:dyDescent="0.25">
      <c r="A147" s="647"/>
      <c r="B147" s="647"/>
      <c r="C147" s="647"/>
      <c r="D147" s="647"/>
      <c r="E147" s="647"/>
      <c r="F147" s="671"/>
      <c r="G147" s="671"/>
      <c r="H147" s="671"/>
      <c r="I147" s="671"/>
      <c r="K147" s="481"/>
      <c r="L147" s="481"/>
      <c r="M147" s="481"/>
      <c r="N147" s="481"/>
      <c r="O147" s="481"/>
      <c r="P147" s="481"/>
    </row>
    <row r="148" spans="1:16" x14ac:dyDescent="0.25">
      <c r="A148" s="662" t="s">
        <v>30</v>
      </c>
      <c r="B148" s="662" t="s">
        <v>62</v>
      </c>
      <c r="C148" s="647"/>
      <c r="D148" s="647"/>
      <c r="E148" s="647"/>
      <c r="F148" s="647"/>
      <c r="G148" s="647"/>
      <c r="H148" s="647"/>
      <c r="I148" s="647"/>
      <c r="K148" s="481"/>
      <c r="L148" s="481"/>
      <c r="M148" s="481"/>
      <c r="N148" s="481"/>
      <c r="O148" s="481"/>
      <c r="P148" s="481"/>
    </row>
    <row r="149" spans="1:16" x14ac:dyDescent="0.25">
      <c r="A149" s="647"/>
      <c r="B149" s="647"/>
      <c r="C149" s="647"/>
      <c r="D149" s="647"/>
      <c r="E149" s="647"/>
      <c r="F149" s="671" t="s">
        <v>84</v>
      </c>
      <c r="G149" s="671" t="s">
        <v>106</v>
      </c>
      <c r="H149" s="671" t="s">
        <v>108</v>
      </c>
      <c r="I149" s="671" t="s">
        <v>107</v>
      </c>
      <c r="K149" s="481"/>
      <c r="L149" s="481"/>
      <c r="M149" s="481"/>
      <c r="N149" s="481"/>
      <c r="O149" s="481"/>
      <c r="P149" s="481"/>
    </row>
    <row r="150" spans="1:16" x14ac:dyDescent="0.25">
      <c r="A150" s="647"/>
      <c r="B150" s="647"/>
      <c r="C150" s="647" t="s">
        <v>151</v>
      </c>
      <c r="D150" s="647"/>
      <c r="E150" s="647"/>
      <c r="F150" s="648">
        <f>F143+F131+F118</f>
        <v>2881423.8921057829</v>
      </c>
      <c r="G150" s="648">
        <f t="shared" ref="G150:I150" si="48">G143+G131+G118</f>
        <v>2026930.4114405119</v>
      </c>
      <c r="H150" s="648">
        <f t="shared" si="48"/>
        <v>1795066.2556259686</v>
      </c>
      <c r="I150" s="648">
        <f t="shared" si="48"/>
        <v>1744444.4515101309</v>
      </c>
      <c r="K150" s="481"/>
      <c r="L150" s="481"/>
      <c r="M150" s="481"/>
      <c r="N150" s="481"/>
      <c r="O150" s="481"/>
      <c r="P150" s="481"/>
    </row>
    <row r="151" spans="1:16" x14ac:dyDescent="0.25">
      <c r="A151" s="647"/>
      <c r="B151" s="647"/>
      <c r="C151" s="647" t="s">
        <v>137</v>
      </c>
      <c r="D151" s="647"/>
      <c r="E151" s="647"/>
      <c r="F151" s="672">
        <v>0.02</v>
      </c>
      <c r="G151" s="672">
        <v>0.02</v>
      </c>
      <c r="H151" s="672">
        <v>0.02</v>
      </c>
      <c r="I151" s="672">
        <v>0.02</v>
      </c>
      <c r="K151" s="481"/>
      <c r="L151" s="481"/>
      <c r="M151" s="481"/>
      <c r="N151" s="481"/>
      <c r="O151" s="481"/>
      <c r="P151" s="481"/>
    </row>
    <row r="152" spans="1:16" x14ac:dyDescent="0.25">
      <c r="A152" s="647"/>
      <c r="B152" s="647"/>
      <c r="C152" s="647"/>
      <c r="D152" s="647"/>
      <c r="E152" s="647"/>
      <c r="F152" s="673"/>
      <c r="G152" s="673"/>
      <c r="H152" s="673"/>
      <c r="I152" s="673"/>
      <c r="K152" s="481"/>
      <c r="L152" s="481"/>
      <c r="M152" s="481"/>
      <c r="N152" s="481"/>
      <c r="O152" s="481"/>
      <c r="P152" s="481"/>
    </row>
    <row r="153" spans="1:16" x14ac:dyDescent="0.25">
      <c r="A153" s="655"/>
      <c r="B153" s="655"/>
      <c r="C153" s="656" t="s">
        <v>80</v>
      </c>
      <c r="D153" s="656"/>
      <c r="E153" s="656"/>
      <c r="F153" s="664">
        <f>F151*F150</f>
        <v>57628.477842115659</v>
      </c>
      <c r="G153" s="664">
        <f t="shared" ref="G153:I153" si="49">G151*G150</f>
        <v>40538.608228810241</v>
      </c>
      <c r="H153" s="664">
        <f t="shared" si="49"/>
        <v>35901.325112519371</v>
      </c>
      <c r="I153" s="664">
        <f t="shared" si="49"/>
        <v>34888.889030202619</v>
      </c>
      <c r="K153" s="481"/>
      <c r="L153" s="481"/>
      <c r="M153" s="481"/>
      <c r="N153" s="481"/>
      <c r="O153" s="481"/>
      <c r="P153" s="481"/>
    </row>
    <row r="154" spans="1:16" x14ac:dyDescent="0.25">
      <c r="A154" s="647"/>
      <c r="B154" s="647"/>
      <c r="C154" s="658" t="s">
        <v>185</v>
      </c>
      <c r="D154" s="650"/>
      <c r="E154" s="650"/>
      <c r="F154" s="667">
        <f>F153/$E$155</f>
        <v>4276.315121630405</v>
      </c>
      <c r="G154" s="667">
        <f>G153/$E$155</f>
        <v>3008.1631490190293</v>
      </c>
      <c r="H154" s="667">
        <f>H153/$E$155</f>
        <v>2664.0540443537034</v>
      </c>
      <c r="I154" s="667">
        <f>I153/$E$155</f>
        <v>2588.9263316218685</v>
      </c>
      <c r="K154" s="481"/>
      <c r="L154" s="481"/>
      <c r="M154" s="481"/>
      <c r="N154" s="481"/>
      <c r="O154" s="481"/>
      <c r="P154" s="481"/>
    </row>
    <row r="155" spans="1:16" x14ac:dyDescent="0.25">
      <c r="A155" s="647"/>
      <c r="B155" s="647"/>
      <c r="C155" s="650" t="s">
        <v>186</v>
      </c>
      <c r="D155" s="650"/>
      <c r="E155" s="666">
        <f>F151*(E145+E133+E120)</f>
        <v>13.476199999999999</v>
      </c>
      <c r="F155" s="659" t="s">
        <v>152</v>
      </c>
      <c r="G155" s="667"/>
      <c r="H155" s="667"/>
      <c r="I155" s="667"/>
      <c r="K155" s="481"/>
      <c r="L155" s="481"/>
      <c r="M155" s="481"/>
      <c r="N155" s="481"/>
      <c r="O155" s="481"/>
      <c r="P155" s="481"/>
    </row>
    <row r="156" spans="1:16" x14ac:dyDescent="0.25">
      <c r="A156" s="647"/>
      <c r="B156" s="647"/>
      <c r="C156" s="647"/>
      <c r="D156" s="647"/>
      <c r="E156" s="647"/>
      <c r="F156" s="647"/>
      <c r="G156" s="647"/>
      <c r="H156" s="647"/>
      <c r="I156" s="647"/>
      <c r="K156" s="481"/>
      <c r="L156" s="481"/>
      <c r="M156" s="481"/>
      <c r="N156" s="481"/>
      <c r="O156" s="481"/>
      <c r="P156" s="481"/>
    </row>
    <row r="157" spans="1:16" x14ac:dyDescent="0.25">
      <c r="K157" s="481"/>
      <c r="L157" s="481"/>
      <c r="M157" s="481"/>
      <c r="N157" s="481"/>
      <c r="O157" s="481"/>
      <c r="P157" s="481"/>
    </row>
    <row r="158" spans="1:16" x14ac:dyDescent="0.25">
      <c r="A158" s="611"/>
      <c r="B158" s="611"/>
      <c r="C158" s="103"/>
      <c r="D158" s="183"/>
      <c r="E158" s="183"/>
      <c r="F158" s="101"/>
      <c r="G158" s="101"/>
      <c r="H158" s="101"/>
      <c r="I158" s="101"/>
    </row>
    <row r="159" spans="1:16" x14ac:dyDescent="0.25">
      <c r="C159" s="402"/>
      <c r="D159" s="479"/>
      <c r="E159" s="479"/>
      <c r="F159" s="284"/>
      <c r="G159" s="434"/>
      <c r="H159" s="434"/>
      <c r="I159" s="434"/>
    </row>
    <row r="160" spans="1:16" x14ac:dyDescent="0.25">
      <c r="C160" s="481"/>
      <c r="D160" s="479"/>
      <c r="E160" s="70"/>
      <c r="F160" s="23"/>
      <c r="G160" s="434"/>
      <c r="H160" s="434"/>
      <c r="I160" s="434"/>
    </row>
    <row r="162" spans="1:9" x14ac:dyDescent="0.25">
      <c r="A162" s="662" t="s">
        <v>148</v>
      </c>
      <c r="B162" s="647"/>
      <c r="C162" s="647"/>
      <c r="D162" s="647"/>
      <c r="E162" s="647"/>
      <c r="F162" s="647"/>
      <c r="G162" s="647"/>
      <c r="H162" s="647"/>
      <c r="I162" s="647"/>
    </row>
    <row r="163" spans="1:9" x14ac:dyDescent="0.25">
      <c r="A163" s="647" t="s">
        <v>27</v>
      </c>
      <c r="B163" s="647" t="s">
        <v>457</v>
      </c>
      <c r="C163" s="647"/>
      <c r="D163" s="647"/>
      <c r="E163" s="647"/>
      <c r="F163" s="647"/>
      <c r="G163" s="647"/>
      <c r="H163" s="647"/>
      <c r="I163" s="647"/>
    </row>
    <row r="164" spans="1:9" x14ac:dyDescent="0.25">
      <c r="A164" s="647" t="s">
        <v>28</v>
      </c>
      <c r="B164" s="647" t="s">
        <v>457</v>
      </c>
      <c r="C164" s="647"/>
      <c r="D164" s="647"/>
      <c r="E164" s="647"/>
      <c r="F164" s="647"/>
      <c r="G164" s="647"/>
      <c r="H164" s="647"/>
      <c r="I164" s="647"/>
    </row>
    <row r="165" spans="1:9" x14ac:dyDescent="0.25">
      <c r="A165" s="647" t="s">
        <v>29</v>
      </c>
      <c r="B165" s="647" t="s">
        <v>457</v>
      </c>
      <c r="C165" s="647"/>
      <c r="D165" s="647"/>
      <c r="E165" s="647"/>
      <c r="F165" s="647"/>
      <c r="G165" s="647"/>
      <c r="H165" s="647"/>
      <c r="I165" s="647"/>
    </row>
    <row r="166" spans="1:9" x14ac:dyDescent="0.25">
      <c r="A166" s="647" t="s">
        <v>30</v>
      </c>
      <c r="B166" s="647" t="s">
        <v>458</v>
      </c>
      <c r="C166" s="647"/>
      <c r="D166" s="647"/>
      <c r="E166" s="647"/>
      <c r="F166" s="647"/>
      <c r="G166" s="647"/>
      <c r="H166" s="647"/>
      <c r="I166" s="647"/>
    </row>
    <row r="167" spans="1:9" x14ac:dyDescent="0.25">
      <c r="A167" s="647"/>
      <c r="B167" s="647"/>
      <c r="C167" s="647"/>
      <c r="D167" s="647"/>
      <c r="E167" s="647"/>
      <c r="F167" s="647"/>
      <c r="G167" s="647"/>
      <c r="H167" s="647"/>
      <c r="I167" s="647"/>
    </row>
    <row r="168" spans="1:9" x14ac:dyDescent="0.25">
      <c r="A168" s="662" t="s">
        <v>212</v>
      </c>
      <c r="B168" s="647"/>
      <c r="C168" s="647"/>
      <c r="D168" s="647"/>
      <c r="E168" s="647"/>
      <c r="F168" s="647"/>
      <c r="G168" s="647"/>
      <c r="H168" s="647"/>
      <c r="I168" s="647"/>
    </row>
    <row r="169" spans="1:9" x14ac:dyDescent="0.25">
      <c r="A169" s="647" t="s">
        <v>27</v>
      </c>
      <c r="B169" s="647" t="s">
        <v>461</v>
      </c>
      <c r="C169" s="647"/>
      <c r="D169" s="647"/>
      <c r="E169" s="647"/>
      <c r="F169" s="647"/>
      <c r="G169" s="647"/>
      <c r="H169" s="647"/>
      <c r="I169" s="647"/>
    </row>
    <row r="170" spans="1:9" x14ac:dyDescent="0.25">
      <c r="A170" s="647" t="s">
        <v>28</v>
      </c>
      <c r="B170" s="647" t="s">
        <v>461</v>
      </c>
      <c r="C170" s="647"/>
      <c r="D170" s="647"/>
      <c r="E170" s="647"/>
      <c r="F170" s="647"/>
      <c r="G170" s="647"/>
      <c r="H170" s="647"/>
      <c r="I170" s="647"/>
    </row>
    <row r="171" spans="1:9" x14ac:dyDescent="0.25">
      <c r="A171" s="647" t="s">
        <v>29</v>
      </c>
      <c r="B171" s="647" t="s">
        <v>461</v>
      </c>
      <c r="C171" s="647"/>
      <c r="D171" s="647"/>
      <c r="E171" s="647"/>
      <c r="F171" s="647"/>
      <c r="G171" s="647"/>
      <c r="H171" s="647"/>
      <c r="I171" s="647"/>
    </row>
    <row r="172" spans="1:9" x14ac:dyDescent="0.25">
      <c r="A172" s="647" t="s">
        <v>30</v>
      </c>
      <c r="B172" s="647" t="s">
        <v>214</v>
      </c>
      <c r="C172" s="647"/>
      <c r="D172" s="647"/>
      <c r="E172" s="647"/>
      <c r="F172" s="647"/>
      <c r="G172" s="647"/>
      <c r="H172" s="647"/>
      <c r="I172" s="647"/>
    </row>
  </sheetData>
  <pageMargins left="0.7" right="0.7" top="0.75" bottom="0.75" header="0.3" footer="0.3"/>
  <pageSetup orientation="portrait" horizontalDpi="4294967293" vertic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
  <sheetViews>
    <sheetView topLeftCell="A19" zoomScale="70" zoomScaleNormal="70" zoomScalePageLayoutView="150" workbookViewId="0">
      <selection activeCell="P65" sqref="P65"/>
    </sheetView>
  </sheetViews>
  <sheetFormatPr defaultColWidth="8.85546875" defaultRowHeight="15" x14ac:dyDescent="0.25"/>
  <cols>
    <col min="1" max="3" width="4.140625" style="68" customWidth="1"/>
    <col min="4" max="4" width="4.42578125" style="68" customWidth="1"/>
    <col min="5" max="5" width="32.7109375" style="68" customWidth="1"/>
    <col min="6" max="6" width="18.7109375" style="68" customWidth="1"/>
    <col min="7" max="7" width="15" style="68" customWidth="1"/>
    <col min="8" max="8" width="14.85546875" style="68" customWidth="1"/>
    <col min="9" max="9" width="14.42578125" style="68" bestFit="1" customWidth="1"/>
    <col min="10" max="10" width="17.28515625" style="68" customWidth="1"/>
    <col min="11" max="11" width="17.140625" style="68" customWidth="1"/>
    <col min="12" max="12" width="13.28515625" style="68" customWidth="1"/>
    <col min="13" max="13" width="9.42578125" style="68" customWidth="1"/>
    <col min="14" max="14" width="12.28515625" style="68" customWidth="1"/>
    <col min="15" max="17" width="8.85546875" style="68"/>
    <col min="18" max="19" width="9" style="68" customWidth="1"/>
    <col min="20" max="20" width="8.85546875" style="68"/>
    <col min="21" max="21" width="9.7109375" style="68" customWidth="1"/>
    <col min="22" max="22" width="12.42578125" style="68" customWidth="1"/>
    <col min="23" max="23" width="8.28515625" style="68" customWidth="1"/>
    <col min="24" max="24" width="8.85546875" style="68"/>
    <col min="25" max="25" width="17.28515625" style="68" customWidth="1"/>
    <col min="26" max="27" width="8.85546875" style="68"/>
    <col min="28" max="28" width="11.7109375" style="68" customWidth="1"/>
    <col min="29" max="16384" width="8.85546875" style="68"/>
  </cols>
  <sheetData>
    <row r="1" spans="1:14" x14ac:dyDescent="0.25">
      <c r="A1" s="427" t="s">
        <v>367</v>
      </c>
    </row>
    <row r="2" spans="1:14" ht="15.75" thickBot="1" x14ac:dyDescent="0.3"/>
    <row r="3" spans="1:14" ht="42.95" customHeight="1" x14ac:dyDescent="0.25">
      <c r="A3" s="57" t="s">
        <v>109</v>
      </c>
      <c r="F3" s="176" t="s">
        <v>227</v>
      </c>
      <c r="G3" s="68">
        <v>1</v>
      </c>
      <c r="H3" s="68">
        <v>10</v>
      </c>
      <c r="I3" s="68">
        <v>50</v>
      </c>
      <c r="J3" s="68">
        <v>100</v>
      </c>
      <c r="K3" s="68" t="s">
        <v>114</v>
      </c>
      <c r="L3" s="68" t="s">
        <v>140</v>
      </c>
      <c r="N3" s="619" t="s">
        <v>478</v>
      </c>
    </row>
    <row r="4" spans="1:14" x14ac:dyDescent="0.25">
      <c r="A4" s="57"/>
      <c r="B4" s="1250" t="s">
        <v>32</v>
      </c>
      <c r="C4" s="1250"/>
      <c r="D4" s="192"/>
      <c r="E4" s="510" t="s">
        <v>33</v>
      </c>
      <c r="F4" s="190">
        <f>SUMIF($F$55:$F$76,"="&amp;E4,$H$55:$H$76)</f>
        <v>20037.16</v>
      </c>
      <c r="G4" s="258">
        <f>SUMIF($F$27:$F$48,"="&amp;E4,$H$27:$H$48)</f>
        <v>25740</v>
      </c>
      <c r="H4" s="258">
        <f>$G4*H$3^(LOG10($K4)/LOG10(2))*H$3</f>
        <v>227101.82297815234</v>
      </c>
      <c r="I4" s="258">
        <f t="shared" ref="H4:J16" si="0">$G4*I$3^(LOG10($K4)/LOG10(2))*I$3</f>
        <v>1040339.5245428892</v>
      </c>
      <c r="J4" s="258">
        <f>$G4*J$3^(LOG10($K4)/LOG10(2))*J$3</f>
        <v>2003700.0000000014</v>
      </c>
      <c r="K4" s="259">
        <v>0.96300292007092581</v>
      </c>
      <c r="L4" s="260">
        <f>SUMIF($F$27:$F$44,"="&amp;E4,$K$27:$K$44)</f>
        <v>2073.5</v>
      </c>
      <c r="N4" s="620">
        <f>1-K4</f>
        <v>3.6997079929074195E-2</v>
      </c>
    </row>
    <row r="5" spans="1:14" x14ac:dyDescent="0.25">
      <c r="B5" s="1250" t="s">
        <v>34</v>
      </c>
      <c r="C5" s="1250"/>
      <c r="D5" s="192"/>
      <c r="E5" s="510" t="s">
        <v>305</v>
      </c>
      <c r="F5" s="355">
        <f t="shared" ref="F5:F16" si="1">SUMIF($F$55:$F$76,"="&amp;E5,$H$55:$H$76)</f>
        <v>95755.66</v>
      </c>
      <c r="G5" s="258">
        <f t="shared" ref="G5:G16" si="2">SUMIF($F$27:$F$48,"="&amp;E5,$H$27:$H$48)</f>
        <v>115140.73999999999</v>
      </c>
      <c r="H5" s="258">
        <f t="shared" si="0"/>
        <v>1050019.8426429844</v>
      </c>
      <c r="I5" s="258">
        <f t="shared" si="0"/>
        <v>4922510.8913911395</v>
      </c>
      <c r="J5" s="258">
        <f>$G5*J$3^(LOG10($K5)/LOG10(2))*J$3</f>
        <v>9575599.9999999814</v>
      </c>
      <c r="K5" s="259">
        <v>0.97263370374116587</v>
      </c>
      <c r="L5" s="260">
        <f t="shared" ref="L5:L16" si="3">SUMIF($F$27:$F$44,"="&amp;E5,$K$27:$K$44)</f>
        <v>7955.460308390022</v>
      </c>
      <c r="N5" s="620">
        <f t="shared" ref="N5:N16" si="4">1-K5</f>
        <v>2.7366296258834133E-2</v>
      </c>
    </row>
    <row r="6" spans="1:14" x14ac:dyDescent="0.25">
      <c r="B6" s="177" t="s">
        <v>35</v>
      </c>
      <c r="C6" s="177"/>
      <c r="D6" s="177"/>
      <c r="E6" s="511" t="s">
        <v>304</v>
      </c>
      <c r="F6" s="355">
        <f t="shared" si="1"/>
        <v>23452</v>
      </c>
      <c r="G6" s="258">
        <f t="shared" si="2"/>
        <v>56628</v>
      </c>
      <c r="H6" s="258">
        <f t="shared" si="0"/>
        <v>364422.81158022245</v>
      </c>
      <c r="I6" s="258">
        <f t="shared" si="0"/>
        <v>1338982.0595969318</v>
      </c>
      <c r="J6" s="258">
        <f t="shared" si="0"/>
        <v>2345200.0000006063</v>
      </c>
      <c r="K6" s="259">
        <v>0.87573988881769349</v>
      </c>
      <c r="L6" s="260">
        <f t="shared" si="3"/>
        <v>1292.72</v>
      </c>
      <c r="N6" s="620">
        <f t="shared" si="4"/>
        <v>0.12426011118230651</v>
      </c>
    </row>
    <row r="7" spans="1:14" x14ac:dyDescent="0.25">
      <c r="B7" s="177" t="s">
        <v>36</v>
      </c>
      <c r="C7" s="177"/>
      <c r="D7" s="177"/>
      <c r="E7" s="511" t="s">
        <v>38</v>
      </c>
      <c r="F7" s="355">
        <f>SUMIF($F$55:$F$76,"="&amp;E7,$H$55:$H$76)</f>
        <v>19305</v>
      </c>
      <c r="G7" s="258">
        <f t="shared" si="2"/>
        <v>85800</v>
      </c>
      <c r="H7" s="190">
        <f t="shared" si="0"/>
        <v>406985.13486406015</v>
      </c>
      <c r="I7" s="190">
        <f t="shared" si="0"/>
        <v>1208220.1021814416</v>
      </c>
      <c r="J7" s="190">
        <f t="shared" si="0"/>
        <v>1930500.0000036976</v>
      </c>
      <c r="K7" s="259">
        <v>0.79890245019023443</v>
      </c>
      <c r="L7" s="260">
        <f t="shared" si="3"/>
        <v>1141.1399999999999</v>
      </c>
      <c r="N7" s="620">
        <f t="shared" si="4"/>
        <v>0.20109754980976557</v>
      </c>
    </row>
    <row r="8" spans="1:14" x14ac:dyDescent="0.25">
      <c r="B8" s="177" t="s">
        <v>39</v>
      </c>
      <c r="C8" s="177"/>
      <c r="D8" s="177"/>
      <c r="E8" s="511" t="s">
        <v>40</v>
      </c>
      <c r="F8" s="355">
        <f t="shared" si="1"/>
        <v>42900</v>
      </c>
      <c r="G8" s="258">
        <f t="shared" si="2"/>
        <v>57200</v>
      </c>
      <c r="H8" s="190">
        <f t="shared" si="0"/>
        <v>495366.53096441738</v>
      </c>
      <c r="I8" s="190">
        <f t="shared" si="0"/>
        <v>2239919.7042117147</v>
      </c>
      <c r="J8" s="190">
        <f t="shared" si="0"/>
        <v>4289999.9999951245</v>
      </c>
      <c r="K8" s="259">
        <v>0.95762361300912935</v>
      </c>
      <c r="L8" s="260">
        <f t="shared" si="3"/>
        <v>0</v>
      </c>
      <c r="N8" s="620">
        <f t="shared" si="4"/>
        <v>4.2376386990870651E-2</v>
      </c>
    </row>
    <row r="9" spans="1:14" x14ac:dyDescent="0.25">
      <c r="B9" s="177" t="s">
        <v>41</v>
      </c>
      <c r="C9" s="177"/>
      <c r="D9" s="177"/>
      <c r="E9" s="511" t="s">
        <v>42</v>
      </c>
      <c r="F9" s="355">
        <f t="shared" si="1"/>
        <v>88000</v>
      </c>
      <c r="G9" s="258">
        <f t="shared" si="2"/>
        <v>88000</v>
      </c>
      <c r="H9" s="190">
        <f t="shared" si="0"/>
        <v>880000</v>
      </c>
      <c r="I9" s="190">
        <f t="shared" si="0"/>
        <v>4400000</v>
      </c>
      <c r="J9" s="190">
        <f t="shared" si="0"/>
        <v>8800000</v>
      </c>
      <c r="K9" s="259">
        <v>1</v>
      </c>
      <c r="L9" s="260">
        <f t="shared" si="3"/>
        <v>0</v>
      </c>
      <c r="N9" s="620">
        <f t="shared" si="4"/>
        <v>0</v>
      </c>
    </row>
    <row r="10" spans="1:14" x14ac:dyDescent="0.25">
      <c r="A10" s="21"/>
      <c r="B10" s="182" t="s">
        <v>43</v>
      </c>
      <c r="C10" s="182"/>
      <c r="D10" s="182"/>
      <c r="E10" s="512" t="s">
        <v>44</v>
      </c>
      <c r="F10" s="355">
        <f t="shared" si="1"/>
        <v>0</v>
      </c>
      <c r="G10" s="258">
        <f t="shared" si="2"/>
        <v>0</v>
      </c>
      <c r="H10" s="190">
        <f t="shared" si="0"/>
        <v>0</v>
      </c>
      <c r="I10" s="190">
        <f t="shared" si="0"/>
        <v>0</v>
      </c>
      <c r="J10" s="190">
        <f t="shared" si="0"/>
        <v>0</v>
      </c>
      <c r="K10" s="259">
        <v>0.96699999999999997</v>
      </c>
      <c r="L10" s="260">
        <f t="shared" si="3"/>
        <v>0</v>
      </c>
      <c r="N10" s="620">
        <f t="shared" si="4"/>
        <v>3.3000000000000029E-2</v>
      </c>
    </row>
    <row r="11" spans="1:14" x14ac:dyDescent="0.25">
      <c r="B11" s="177" t="s">
        <v>45</v>
      </c>
      <c r="C11" s="177"/>
      <c r="D11" s="177"/>
      <c r="E11" s="511" t="s">
        <v>59</v>
      </c>
      <c r="F11" s="355">
        <f t="shared" si="1"/>
        <v>0</v>
      </c>
      <c r="G11" s="258">
        <f t="shared" si="2"/>
        <v>0</v>
      </c>
      <c r="H11" s="190">
        <f t="shared" si="0"/>
        <v>0</v>
      </c>
      <c r="I11" s="190">
        <f t="shared" si="0"/>
        <v>0</v>
      </c>
      <c r="J11" s="190">
        <f t="shared" si="0"/>
        <v>0</v>
      </c>
      <c r="K11" s="259">
        <v>0.96699999999999997</v>
      </c>
      <c r="L11" s="260">
        <f t="shared" si="3"/>
        <v>0</v>
      </c>
      <c r="N11" s="620">
        <f t="shared" si="4"/>
        <v>3.3000000000000029E-2</v>
      </c>
    </row>
    <row r="12" spans="1:14" x14ac:dyDescent="0.25">
      <c r="B12" s="177" t="s">
        <v>60</v>
      </c>
      <c r="C12" s="177"/>
      <c r="D12" s="177"/>
      <c r="E12" s="511" t="s">
        <v>61</v>
      </c>
      <c r="F12" s="355">
        <f t="shared" si="1"/>
        <v>5000</v>
      </c>
      <c r="G12" s="258">
        <f t="shared" si="2"/>
        <v>5643.5</v>
      </c>
      <c r="H12" s="190">
        <f>$G12*H$3^(LOG10($K12)/LOG10(2))*H$3</f>
        <v>53120.14683715078</v>
      </c>
      <c r="I12" s="190">
        <f t="shared" si="0"/>
        <v>254597.34197343577</v>
      </c>
      <c r="J12" s="190">
        <f>$G12*J$3^(LOG10($K12)/LOG10(2))*J$3</f>
        <v>500000.00000008137</v>
      </c>
      <c r="K12" s="259">
        <v>0.98194269453969885</v>
      </c>
      <c r="L12" s="260">
        <f t="shared" si="3"/>
        <v>0</v>
      </c>
      <c r="N12" s="620">
        <f t="shared" si="4"/>
        <v>1.8057305460301154E-2</v>
      </c>
    </row>
    <row r="13" spans="1:14" x14ac:dyDescent="0.25">
      <c r="B13" s="177" t="s">
        <v>66</v>
      </c>
      <c r="C13" s="177"/>
      <c r="D13" s="177"/>
      <c r="E13" s="511" t="s">
        <v>63</v>
      </c>
      <c r="F13" s="355">
        <f t="shared" si="1"/>
        <v>66307.956000000006</v>
      </c>
      <c r="G13" s="258">
        <f t="shared" si="2"/>
        <v>88410.608000000007</v>
      </c>
      <c r="H13" s="190">
        <f t="shared" si="0"/>
        <v>765658.57895391807</v>
      </c>
      <c r="I13" s="190">
        <f t="shared" si="0"/>
        <v>3462111.4431850729</v>
      </c>
      <c r="J13" s="190">
        <f t="shared" si="0"/>
        <v>6630799.9999924563</v>
      </c>
      <c r="K13" s="259">
        <v>0.95762370865396729</v>
      </c>
      <c r="L13" s="260">
        <f t="shared" si="3"/>
        <v>0</v>
      </c>
      <c r="N13" s="620">
        <f t="shared" si="4"/>
        <v>4.2376291346032713E-2</v>
      </c>
    </row>
    <row r="14" spans="1:14" x14ac:dyDescent="0.25">
      <c r="B14" s="182" t="s">
        <v>67</v>
      </c>
      <c r="C14" s="182"/>
      <c r="D14" s="182"/>
      <c r="E14" s="512" t="s">
        <v>64</v>
      </c>
      <c r="F14" s="355">
        <f t="shared" si="1"/>
        <v>43500.6</v>
      </c>
      <c r="G14" s="258">
        <f t="shared" si="2"/>
        <v>58000.799999999996</v>
      </c>
      <c r="H14" s="190">
        <f t="shared" si="0"/>
        <v>502303.97179368313</v>
      </c>
      <c r="I14" s="190">
        <f t="shared" si="0"/>
        <v>2271296.3215799998</v>
      </c>
      <c r="J14" s="190">
        <f t="shared" si="0"/>
        <v>4350099.9999949867</v>
      </c>
      <c r="K14" s="259">
        <v>0.95762493838075957</v>
      </c>
      <c r="L14" s="260">
        <f t="shared" si="3"/>
        <v>0</v>
      </c>
      <c r="N14" s="620">
        <f t="shared" si="4"/>
        <v>4.2375061619240428E-2</v>
      </c>
    </row>
    <row r="15" spans="1:14" x14ac:dyDescent="0.25">
      <c r="B15" s="177" t="s">
        <v>68</v>
      </c>
      <c r="C15" s="177"/>
      <c r="D15" s="177"/>
      <c r="E15" s="511" t="s">
        <v>138</v>
      </c>
      <c r="F15" s="355">
        <f t="shared" si="1"/>
        <v>5720</v>
      </c>
      <c r="G15" s="258">
        <f t="shared" si="2"/>
        <v>28600</v>
      </c>
      <c r="H15" s="190">
        <f t="shared" si="0"/>
        <v>127903.08831586117</v>
      </c>
      <c r="I15" s="190">
        <f t="shared" si="0"/>
        <v>364394.23865305091</v>
      </c>
      <c r="J15" s="190">
        <f t="shared" si="0"/>
        <v>572000.00002569868</v>
      </c>
      <c r="K15" s="259">
        <v>0.78486422032911807</v>
      </c>
      <c r="L15" s="260">
        <f t="shared" si="3"/>
        <v>0</v>
      </c>
      <c r="N15" s="620">
        <f t="shared" si="4"/>
        <v>0.21513577967088193</v>
      </c>
    </row>
    <row r="16" spans="1:14" x14ac:dyDescent="0.25">
      <c r="B16" s="177" t="s">
        <v>69</v>
      </c>
      <c r="C16" s="177"/>
      <c r="D16" s="177"/>
      <c r="E16" s="511" t="s">
        <v>17</v>
      </c>
      <c r="F16" s="355">
        <f t="shared" si="1"/>
        <v>2860</v>
      </c>
      <c r="G16" s="258">
        <f t="shared" si="2"/>
        <v>14300</v>
      </c>
      <c r="H16" s="190">
        <f t="shared" si="0"/>
        <v>63951.544157930584</v>
      </c>
      <c r="I16" s="190">
        <f>$G16*I$3^(LOG10($K16)/LOG10(2))*I$3</f>
        <v>182197.11932652546</v>
      </c>
      <c r="J16" s="190">
        <f t="shared" si="0"/>
        <v>286000.00001284934</v>
      </c>
      <c r="K16" s="259">
        <v>0.78486422032911807</v>
      </c>
      <c r="L16" s="260">
        <f t="shared" si="3"/>
        <v>0</v>
      </c>
      <c r="N16" s="620">
        <f t="shared" si="4"/>
        <v>0.21513577967088193</v>
      </c>
    </row>
    <row r="17" spans="2:25" x14ac:dyDescent="0.25">
      <c r="B17" s="177"/>
      <c r="C17" s="177"/>
      <c r="D17" s="177"/>
      <c r="E17" s="177"/>
      <c r="F17" s="194"/>
      <c r="G17" s="194"/>
      <c r="H17" s="194"/>
      <c r="I17" s="194"/>
      <c r="J17" s="194"/>
      <c r="K17" s="177"/>
      <c r="N17" s="620"/>
    </row>
    <row r="18" spans="2:25" x14ac:dyDescent="0.25">
      <c r="B18" s="177"/>
      <c r="C18" s="177"/>
      <c r="D18" s="177"/>
      <c r="E18" s="193" t="s">
        <v>79</v>
      </c>
      <c r="F18" s="194"/>
      <c r="G18" s="194">
        <f>SUM(G4:G16)</f>
        <v>623463.64800000004</v>
      </c>
      <c r="H18" s="194">
        <f t="shared" ref="H18:I18" si="5">SUM(H4:H16)</f>
        <v>4936833.4730883809</v>
      </c>
      <c r="I18" s="194">
        <f t="shared" si="5"/>
        <v>21684568.746642202</v>
      </c>
      <c r="J18" s="194">
        <f>SUM(J4:J16)</f>
        <v>41283900.000025488</v>
      </c>
      <c r="K18" s="180"/>
      <c r="L18" s="277">
        <f>SUM(L4:L16)</f>
        <v>12462.820308390021</v>
      </c>
      <c r="N18" s="620"/>
    </row>
    <row r="19" spans="2:25" ht="15.75" thickBot="1" x14ac:dyDescent="0.3">
      <c r="B19" s="71"/>
      <c r="C19" s="71"/>
      <c r="D19" s="71"/>
      <c r="E19" s="72" t="s">
        <v>115</v>
      </c>
      <c r="F19" s="195">
        <f>SUM(F4:F16)</f>
        <v>412838.37599999999</v>
      </c>
      <c r="G19" s="195">
        <f>G18/G3</f>
        <v>623463.64800000004</v>
      </c>
      <c r="H19" s="195">
        <f>H18/H3</f>
        <v>493683.3473088381</v>
      </c>
      <c r="I19" s="195">
        <f>I18/I3</f>
        <v>433691.37493284402</v>
      </c>
      <c r="J19" s="195">
        <f>J18/J3</f>
        <v>412839.00000025489</v>
      </c>
      <c r="K19" s="177"/>
      <c r="N19" s="621"/>
    </row>
    <row r="20" spans="2:25" x14ac:dyDescent="0.25">
      <c r="F20" s="39"/>
      <c r="I20" s="43"/>
      <c r="J20" s="39"/>
      <c r="O20" s="60"/>
      <c r="P20" s="60"/>
      <c r="Q20" s="60"/>
      <c r="R20" s="60"/>
      <c r="S20" s="60"/>
      <c r="T20" s="60"/>
      <c r="U20" s="60"/>
      <c r="V20" s="60"/>
      <c r="W20" s="60"/>
      <c r="X20" s="60"/>
      <c r="Y20" s="60"/>
    </row>
    <row r="21" spans="2:25" x14ac:dyDescent="0.25">
      <c r="J21" s="48"/>
      <c r="O21" s="60"/>
      <c r="P21" s="60"/>
      <c r="Q21" s="60"/>
      <c r="R21" s="60"/>
      <c r="S21" s="60"/>
      <c r="T21" s="60"/>
      <c r="U21" s="60"/>
      <c r="V21" s="60"/>
      <c r="W21" s="60"/>
      <c r="X21" s="60"/>
      <c r="Y21" s="60"/>
    </row>
    <row r="22" spans="2:25" x14ac:dyDescent="0.25">
      <c r="O22" s="60"/>
      <c r="P22" s="60"/>
      <c r="Q22" s="60"/>
      <c r="R22" s="60"/>
      <c r="S22" s="60"/>
      <c r="T22" s="60"/>
      <c r="U22" s="60"/>
      <c r="V22" s="60"/>
      <c r="W22" s="60"/>
      <c r="X22" s="60"/>
      <c r="Y22" s="60"/>
    </row>
    <row r="23" spans="2:25" x14ac:dyDescent="0.25">
      <c r="O23" s="60"/>
      <c r="P23" s="60"/>
      <c r="Q23" s="60"/>
      <c r="R23" s="60"/>
      <c r="S23" s="60"/>
      <c r="T23" s="60"/>
      <c r="U23" s="60"/>
      <c r="V23" s="60"/>
      <c r="W23" s="60"/>
      <c r="X23" s="60"/>
      <c r="Y23" s="60"/>
    </row>
    <row r="24" spans="2:25" x14ac:dyDescent="0.25">
      <c r="B24" s="57" t="s">
        <v>285</v>
      </c>
      <c r="C24" s="57"/>
      <c r="H24" s="407"/>
      <c r="O24" s="60"/>
      <c r="P24" s="60"/>
      <c r="Q24" s="60"/>
      <c r="R24" s="60"/>
      <c r="S24" s="60"/>
      <c r="T24" s="60"/>
      <c r="U24" s="60"/>
      <c r="V24" s="60"/>
      <c r="W24" s="60"/>
      <c r="X24" s="60"/>
      <c r="Y24" s="60"/>
    </row>
    <row r="25" spans="2:25" x14ac:dyDescent="0.25">
      <c r="O25" s="60"/>
      <c r="P25" s="60"/>
      <c r="Q25" s="60"/>
      <c r="R25" s="60"/>
      <c r="S25" s="60"/>
      <c r="T25" s="60"/>
      <c r="U25" s="60"/>
      <c r="V25" s="60"/>
      <c r="W25" s="60"/>
      <c r="X25" s="60"/>
      <c r="Y25" s="60"/>
    </row>
    <row r="26" spans="2:25" x14ac:dyDescent="0.25">
      <c r="E26" s="57" t="s">
        <v>82</v>
      </c>
      <c r="F26" s="57" t="s">
        <v>113</v>
      </c>
      <c r="G26" s="57" t="s">
        <v>306</v>
      </c>
      <c r="H26" s="57" t="s">
        <v>308</v>
      </c>
      <c r="I26" s="57"/>
      <c r="J26" s="57" t="s">
        <v>459</v>
      </c>
      <c r="K26" s="427" t="s">
        <v>460</v>
      </c>
      <c r="L26" s="57"/>
      <c r="M26" s="57"/>
      <c r="O26" s="60"/>
      <c r="P26" s="60"/>
      <c r="Q26" s="60"/>
      <c r="R26" s="60"/>
      <c r="S26" s="60"/>
      <c r="T26" s="60"/>
      <c r="U26" s="60"/>
      <c r="V26" s="60"/>
      <c r="W26" s="60"/>
      <c r="X26" s="60"/>
      <c r="Y26" s="60"/>
    </row>
    <row r="27" spans="2:25" x14ac:dyDescent="0.25">
      <c r="D27" s="68">
        <v>1</v>
      </c>
      <c r="E27" s="405" t="s">
        <v>286</v>
      </c>
      <c r="F27" s="68" t="s">
        <v>305</v>
      </c>
      <c r="G27" s="62">
        <v>9350</v>
      </c>
      <c r="H27" s="508">
        <f>G27*2.86</f>
        <v>26741</v>
      </c>
      <c r="I27" s="392"/>
      <c r="J27" s="55">
        <f>2000/2.205</f>
        <v>907.02947845804988</v>
      </c>
      <c r="K27" s="55">
        <f>J27*2.86</f>
        <v>2594.1043083900227</v>
      </c>
      <c r="N27" s="63"/>
      <c r="O27" s="60"/>
      <c r="P27" s="60"/>
      <c r="Q27" s="60"/>
      <c r="R27" s="60"/>
      <c r="S27" s="60"/>
      <c r="T27" s="60"/>
      <c r="U27" s="60"/>
      <c r="V27" s="60"/>
      <c r="W27" s="60"/>
      <c r="X27" s="60"/>
      <c r="Y27" s="60"/>
    </row>
    <row r="28" spans="2:25" x14ac:dyDescent="0.25">
      <c r="D28" s="68">
        <v>2</v>
      </c>
      <c r="E28" s="405" t="s">
        <v>302</v>
      </c>
      <c r="F28" s="478" t="s">
        <v>305</v>
      </c>
      <c r="G28" s="62">
        <v>408</v>
      </c>
      <c r="H28" s="508">
        <f t="shared" ref="H28:H46" si="6">G28*2.86</f>
        <v>1166.8799999999999</v>
      </c>
      <c r="I28" s="408"/>
      <c r="J28" s="55"/>
      <c r="K28" s="436">
        <f t="shared" ref="K28:K76" si="7">J28*2.86</f>
        <v>0</v>
      </c>
      <c r="O28" s="60"/>
      <c r="P28" s="60"/>
      <c r="Q28" s="60"/>
      <c r="R28" s="60"/>
      <c r="S28" s="60"/>
      <c r="T28" s="60"/>
      <c r="U28" s="60"/>
      <c r="V28" s="60"/>
      <c r="W28" s="60"/>
      <c r="X28" s="60"/>
      <c r="Y28" s="60"/>
    </row>
    <row r="29" spans="2:25" x14ac:dyDescent="0.25">
      <c r="D29" s="68">
        <v>3</v>
      </c>
      <c r="E29" s="405" t="s">
        <v>287</v>
      </c>
      <c r="F29" s="478" t="s">
        <v>305</v>
      </c>
      <c r="G29" s="62">
        <v>116</v>
      </c>
      <c r="H29" s="508">
        <f t="shared" si="6"/>
        <v>331.76</v>
      </c>
      <c r="I29" s="408"/>
      <c r="J29" s="55"/>
      <c r="K29" s="436">
        <f t="shared" si="7"/>
        <v>0</v>
      </c>
      <c r="L29" s="610"/>
      <c r="O29" s="60"/>
      <c r="P29" s="60"/>
      <c r="Q29" s="60"/>
      <c r="R29" s="60"/>
      <c r="S29" s="60"/>
      <c r="T29" s="60"/>
      <c r="U29" s="60"/>
      <c r="V29" s="60"/>
      <c r="W29" s="60"/>
      <c r="X29" s="60"/>
      <c r="Y29" s="60"/>
    </row>
    <row r="30" spans="2:25" x14ac:dyDescent="0.25">
      <c r="D30" s="68">
        <v>4</v>
      </c>
      <c r="E30" s="405" t="s">
        <v>300</v>
      </c>
      <c r="F30" s="478" t="s">
        <v>61</v>
      </c>
      <c r="G30" s="62">
        <v>225</v>
      </c>
      <c r="H30" s="508">
        <f t="shared" si="6"/>
        <v>643.5</v>
      </c>
      <c r="I30" s="408"/>
      <c r="J30" s="55"/>
      <c r="K30" s="436">
        <f t="shared" si="7"/>
        <v>0</v>
      </c>
      <c r="L30" s="610"/>
      <c r="O30" s="60"/>
      <c r="P30" s="60"/>
      <c r="Q30" s="60"/>
      <c r="R30" s="60"/>
      <c r="S30" s="60"/>
      <c r="T30" s="60"/>
      <c r="U30" s="60"/>
      <c r="V30" s="60"/>
      <c r="W30" s="60"/>
      <c r="X30" s="60"/>
      <c r="Y30" s="60"/>
    </row>
    <row r="31" spans="2:25" x14ac:dyDescent="0.25">
      <c r="D31" s="68">
        <v>5</v>
      </c>
      <c r="E31" s="405" t="s">
        <v>299</v>
      </c>
      <c r="F31" s="478" t="s">
        <v>305</v>
      </c>
      <c r="G31" s="62">
        <v>956</v>
      </c>
      <c r="H31" s="508">
        <f t="shared" si="6"/>
        <v>2734.16</v>
      </c>
      <c r="I31" s="408"/>
      <c r="J31" s="55"/>
      <c r="K31" s="436">
        <f t="shared" si="7"/>
        <v>0</v>
      </c>
      <c r="L31" s="610"/>
      <c r="O31" s="60"/>
      <c r="P31" s="60"/>
      <c r="Q31" s="60"/>
      <c r="R31" s="60"/>
      <c r="S31" s="60"/>
      <c r="T31" s="60"/>
      <c r="U31" s="60"/>
      <c r="V31" s="60"/>
      <c r="W31" s="60"/>
      <c r="X31" s="60"/>
      <c r="Y31" s="60"/>
    </row>
    <row r="32" spans="2:25" x14ac:dyDescent="0.25">
      <c r="D32" s="68">
        <v>6</v>
      </c>
      <c r="E32" s="405" t="s">
        <v>289</v>
      </c>
      <c r="F32" s="478" t="s">
        <v>305</v>
      </c>
      <c r="G32" s="62">
        <v>702</v>
      </c>
      <c r="H32" s="508">
        <f t="shared" si="6"/>
        <v>2007.7199999999998</v>
      </c>
      <c r="I32" s="408"/>
      <c r="J32" s="55"/>
      <c r="K32" s="436">
        <f t="shared" si="7"/>
        <v>0</v>
      </c>
      <c r="L32" s="610"/>
    </row>
    <row r="33" spans="4:12" x14ac:dyDescent="0.25">
      <c r="D33" s="68">
        <v>7</v>
      </c>
      <c r="E33" s="405" t="s">
        <v>290</v>
      </c>
      <c r="F33" s="478" t="s">
        <v>304</v>
      </c>
      <c r="G33" s="62">
        <v>19800</v>
      </c>
      <c r="H33" s="508">
        <f t="shared" si="6"/>
        <v>56628</v>
      </c>
      <c r="I33" s="408"/>
      <c r="J33" s="55">
        <v>452</v>
      </c>
      <c r="K33" s="436">
        <f t="shared" si="7"/>
        <v>1292.72</v>
      </c>
    </row>
    <row r="34" spans="4:12" x14ac:dyDescent="0.25">
      <c r="D34" s="68">
        <v>8</v>
      </c>
      <c r="E34" s="405" t="s">
        <v>291</v>
      </c>
      <c r="F34" s="478" t="s">
        <v>305</v>
      </c>
      <c r="G34" s="62">
        <v>898</v>
      </c>
      <c r="H34" s="508">
        <f t="shared" si="6"/>
        <v>2568.2799999999997</v>
      </c>
      <c r="I34" s="408"/>
      <c r="J34" s="55">
        <v>50</v>
      </c>
      <c r="K34" s="436">
        <f t="shared" si="7"/>
        <v>143</v>
      </c>
    </row>
    <row r="35" spans="4:12" x14ac:dyDescent="0.25">
      <c r="D35" s="68">
        <v>9</v>
      </c>
      <c r="E35" s="405" t="s">
        <v>292</v>
      </c>
      <c r="F35" s="478" t="s">
        <v>305</v>
      </c>
      <c r="G35" s="62">
        <v>2568</v>
      </c>
      <c r="H35" s="508">
        <f t="shared" si="6"/>
        <v>7344.48</v>
      </c>
      <c r="I35" s="408"/>
      <c r="J35" s="55">
        <v>90</v>
      </c>
      <c r="K35" s="436">
        <f t="shared" si="7"/>
        <v>257.39999999999998</v>
      </c>
    </row>
    <row r="36" spans="4:12" x14ac:dyDescent="0.25">
      <c r="D36" s="68">
        <v>10</v>
      </c>
      <c r="E36" s="405" t="s">
        <v>293</v>
      </c>
      <c r="F36" s="478" t="s">
        <v>305</v>
      </c>
      <c r="G36" s="62">
        <v>8261</v>
      </c>
      <c r="H36" s="508">
        <f t="shared" si="6"/>
        <v>23626.46</v>
      </c>
      <c r="I36" s="408"/>
      <c r="J36" s="55">
        <v>73</v>
      </c>
      <c r="K36" s="436">
        <f t="shared" si="7"/>
        <v>208.78</v>
      </c>
    </row>
    <row r="37" spans="4:12" x14ac:dyDescent="0.25">
      <c r="D37" s="68">
        <v>11</v>
      </c>
      <c r="E37" s="405" t="s">
        <v>294</v>
      </c>
      <c r="F37" s="478" t="s">
        <v>305</v>
      </c>
      <c r="G37" s="62">
        <v>7000</v>
      </c>
      <c r="H37" s="508">
        <f t="shared" si="6"/>
        <v>20020</v>
      </c>
      <c r="I37" s="408"/>
      <c r="J37" s="106">
        <v>454</v>
      </c>
      <c r="K37" s="436">
        <f t="shared" si="7"/>
        <v>1298.44</v>
      </c>
    </row>
    <row r="38" spans="4:12" x14ac:dyDescent="0.25">
      <c r="D38" s="68">
        <v>12</v>
      </c>
      <c r="E38" s="405" t="s">
        <v>295</v>
      </c>
      <c r="F38" s="478" t="s">
        <v>305</v>
      </c>
      <c r="G38" s="62">
        <v>4000</v>
      </c>
      <c r="H38" s="508">
        <f t="shared" si="6"/>
        <v>11440</v>
      </c>
      <c r="I38" s="408"/>
      <c r="J38" s="106"/>
      <c r="K38" s="436">
        <f t="shared" si="7"/>
        <v>0</v>
      </c>
      <c r="L38" s="610"/>
    </row>
    <row r="39" spans="4:12" x14ac:dyDescent="0.25">
      <c r="D39" s="68">
        <v>13</v>
      </c>
      <c r="E39" s="405" t="s">
        <v>296</v>
      </c>
      <c r="F39" s="478" t="s">
        <v>305</v>
      </c>
      <c r="G39" s="62">
        <v>6000</v>
      </c>
      <c r="H39" s="508">
        <f t="shared" si="6"/>
        <v>17160</v>
      </c>
      <c r="I39" s="408"/>
      <c r="J39" s="55">
        <v>1207.5999999999999</v>
      </c>
      <c r="K39" s="436">
        <f t="shared" si="7"/>
        <v>3453.7359999999994</v>
      </c>
    </row>
    <row r="40" spans="4:12" x14ac:dyDescent="0.25">
      <c r="D40" s="59">
        <v>14</v>
      </c>
      <c r="E40" s="75" t="s">
        <v>297</v>
      </c>
      <c r="F40" s="478" t="s">
        <v>17</v>
      </c>
      <c r="G40" s="408">
        <v>5000</v>
      </c>
      <c r="H40" s="508">
        <f t="shared" si="6"/>
        <v>14300</v>
      </c>
      <c r="I40" s="408"/>
      <c r="J40" s="33"/>
      <c r="K40" s="436">
        <f t="shared" si="7"/>
        <v>0</v>
      </c>
      <c r="L40" s="610"/>
    </row>
    <row r="41" spans="4:12" x14ac:dyDescent="0.25">
      <c r="D41" s="59">
        <v>15</v>
      </c>
      <c r="E41" s="75" t="s">
        <v>298</v>
      </c>
      <c r="F41" s="478" t="s">
        <v>138</v>
      </c>
      <c r="G41" s="3">
        <v>10000</v>
      </c>
      <c r="H41" s="508">
        <f t="shared" si="6"/>
        <v>28600</v>
      </c>
      <c r="I41" s="408"/>
      <c r="J41" s="33"/>
      <c r="K41" s="436">
        <f t="shared" si="7"/>
        <v>0</v>
      </c>
      <c r="L41" s="610"/>
    </row>
    <row r="42" spans="4:12" x14ac:dyDescent="0.25">
      <c r="D42" s="59">
        <v>16</v>
      </c>
      <c r="E42" s="75" t="s">
        <v>33</v>
      </c>
      <c r="F42" s="478" t="s">
        <v>33</v>
      </c>
      <c r="G42" s="3">
        <v>9000</v>
      </c>
      <c r="H42" s="508">
        <f t="shared" si="6"/>
        <v>25740</v>
      </c>
      <c r="I42" s="408"/>
      <c r="J42" s="33">
        <v>725</v>
      </c>
      <c r="K42" s="436">
        <f t="shared" si="7"/>
        <v>2073.5</v>
      </c>
      <c r="L42" s="59"/>
    </row>
    <row r="43" spans="4:12" x14ac:dyDescent="0.25">
      <c r="D43" s="59">
        <v>17</v>
      </c>
      <c r="E43" s="75" t="s">
        <v>38</v>
      </c>
      <c r="F43" s="478" t="s">
        <v>38</v>
      </c>
      <c r="G43" s="3">
        <v>30000</v>
      </c>
      <c r="H43" s="508">
        <f t="shared" si="6"/>
        <v>85800</v>
      </c>
      <c r="I43" s="408"/>
      <c r="J43" s="33">
        <v>399</v>
      </c>
      <c r="K43" s="436">
        <f t="shared" si="7"/>
        <v>1141.1399999999999</v>
      </c>
      <c r="L43" s="59"/>
    </row>
    <row r="44" spans="4:12" s="425" customFormat="1" x14ac:dyDescent="0.25">
      <c r="D44" s="435">
        <v>18</v>
      </c>
      <c r="E44" s="75" t="s">
        <v>301</v>
      </c>
      <c r="F44" s="478" t="s">
        <v>64</v>
      </c>
      <c r="G44" s="368">
        <v>20280</v>
      </c>
      <c r="H44" s="508">
        <f t="shared" si="6"/>
        <v>58000.799999999996</v>
      </c>
      <c r="I44" s="408"/>
      <c r="J44" s="66"/>
      <c r="K44" s="436">
        <f t="shared" si="7"/>
        <v>0</v>
      </c>
      <c r="L44" s="610"/>
    </row>
    <row r="45" spans="4:12" s="478" customFormat="1" x14ac:dyDescent="0.25">
      <c r="D45" s="480">
        <v>19</v>
      </c>
      <c r="E45" s="75" t="s">
        <v>40</v>
      </c>
      <c r="F45" s="478" t="s">
        <v>40</v>
      </c>
      <c r="G45" s="368">
        <v>20000</v>
      </c>
      <c r="H45" s="508">
        <f t="shared" si="6"/>
        <v>57200</v>
      </c>
      <c r="I45" s="408"/>
      <c r="J45" s="66">
        <v>760</v>
      </c>
      <c r="K45" s="436">
        <f t="shared" si="7"/>
        <v>2173.6</v>
      </c>
    </row>
    <row r="46" spans="4:12" s="478" customFormat="1" x14ac:dyDescent="0.25">
      <c r="D46" s="480">
        <v>20</v>
      </c>
      <c r="E46" s="75" t="s">
        <v>307</v>
      </c>
      <c r="F46" s="478" t="s">
        <v>63</v>
      </c>
      <c r="G46" s="368">
        <f>20%*SUM(G27:G45)</f>
        <v>30912.800000000003</v>
      </c>
      <c r="H46" s="508">
        <f t="shared" si="6"/>
        <v>88410.608000000007</v>
      </c>
      <c r="I46" s="408"/>
      <c r="J46" s="66"/>
      <c r="K46" s="436">
        <f t="shared" si="7"/>
        <v>0</v>
      </c>
      <c r="L46" s="610"/>
    </row>
    <row r="47" spans="4:12" s="478" customFormat="1" x14ac:dyDescent="0.25">
      <c r="D47" s="480">
        <v>21</v>
      </c>
      <c r="E47" s="75" t="s">
        <v>42</v>
      </c>
      <c r="F47" s="478" t="s">
        <v>42</v>
      </c>
      <c r="G47" s="368">
        <f>80000*1.1</f>
        <v>88000</v>
      </c>
      <c r="H47" s="508">
        <f>G47</f>
        <v>88000</v>
      </c>
      <c r="I47" s="408"/>
      <c r="J47" s="66"/>
      <c r="K47" s="436">
        <f t="shared" si="7"/>
        <v>0</v>
      </c>
      <c r="L47" s="610"/>
    </row>
    <row r="48" spans="4:12" s="478" customFormat="1" ht="14.45" x14ac:dyDescent="0.3">
      <c r="D48" s="480">
        <v>22</v>
      </c>
      <c r="E48" s="75" t="s">
        <v>443</v>
      </c>
      <c r="F48" s="478" t="s">
        <v>61</v>
      </c>
      <c r="G48" s="368">
        <v>5000</v>
      </c>
      <c r="H48" s="508">
        <v>5000</v>
      </c>
      <c r="I48" s="408"/>
      <c r="J48" s="66"/>
      <c r="K48" s="436">
        <f t="shared" si="7"/>
        <v>0</v>
      </c>
      <c r="L48" s="610"/>
    </row>
    <row r="49" spans="2:15" s="478" customFormat="1" ht="14.45" x14ac:dyDescent="0.3">
      <c r="D49" s="480"/>
      <c r="E49" s="75"/>
      <c r="G49" s="368"/>
      <c r="H49" s="508"/>
      <c r="I49" s="408"/>
      <c r="J49" s="66"/>
      <c r="K49" s="436"/>
    </row>
    <row r="50" spans="2:15" s="478" customFormat="1" ht="14.45" x14ac:dyDescent="0.3">
      <c r="D50" s="76" t="s">
        <v>83</v>
      </c>
      <c r="E50" s="103"/>
      <c r="F50" s="288"/>
      <c r="G50" s="509">
        <f>SUM(G27:G45)</f>
        <v>154564</v>
      </c>
      <c r="H50" s="509">
        <f>SUM(H27:H45)</f>
        <v>442053.04</v>
      </c>
      <c r="I50" s="408"/>
      <c r="J50" s="66"/>
      <c r="K50" s="436"/>
    </row>
    <row r="51" spans="2:15" ht="14.45" x14ac:dyDescent="0.3">
      <c r="F51" s="39"/>
      <c r="G51" s="41"/>
      <c r="K51" s="436"/>
    </row>
    <row r="52" spans="2:15" ht="14.45" x14ac:dyDescent="0.3">
      <c r="B52" s="57" t="s">
        <v>303</v>
      </c>
      <c r="C52" s="57"/>
      <c r="G52" s="408"/>
      <c r="K52" s="436"/>
    </row>
    <row r="53" spans="2:15" ht="14.45" x14ac:dyDescent="0.3">
      <c r="F53" s="39"/>
      <c r="G53" s="41"/>
      <c r="K53" s="436"/>
    </row>
    <row r="54" spans="2:15" ht="14.45" x14ac:dyDescent="0.3">
      <c r="E54" s="57" t="s">
        <v>82</v>
      </c>
      <c r="F54" s="57" t="s">
        <v>113</v>
      </c>
      <c r="G54" s="57" t="s">
        <v>306</v>
      </c>
      <c r="H54" s="57" t="s">
        <v>308</v>
      </c>
      <c r="I54" s="57"/>
      <c r="J54" s="595" t="s">
        <v>459</v>
      </c>
      <c r="K54" s="595" t="s">
        <v>460</v>
      </c>
      <c r="L54" s="297"/>
      <c r="M54" s="303"/>
      <c r="N54" s="302"/>
    </row>
    <row r="55" spans="2:15" ht="14.45" x14ac:dyDescent="0.3">
      <c r="D55" s="68">
        <v>1</v>
      </c>
      <c r="E55" s="405" t="s">
        <v>286</v>
      </c>
      <c r="F55" s="68" t="s">
        <v>305</v>
      </c>
      <c r="G55" s="401">
        <v>8500</v>
      </c>
      <c r="H55" s="507">
        <f>G55*2.86</f>
        <v>24310</v>
      </c>
      <c r="I55" s="62"/>
      <c r="J55" s="436">
        <f>2000/2.205</f>
        <v>907.02947845804988</v>
      </c>
      <c r="K55" s="436">
        <f t="shared" si="7"/>
        <v>2594.1043083900227</v>
      </c>
      <c r="L55" s="304"/>
      <c r="N55" s="301"/>
      <c r="O55" s="301"/>
    </row>
    <row r="56" spans="2:15" ht="14.45" x14ac:dyDescent="0.3">
      <c r="D56" s="68">
        <v>2</v>
      </c>
      <c r="E56" s="405" t="s">
        <v>302</v>
      </c>
      <c r="F56" s="68" t="s">
        <v>305</v>
      </c>
      <c r="G56" s="401">
        <v>328</v>
      </c>
      <c r="H56" s="507">
        <f t="shared" ref="H56:H70" si="8">G56*2.86</f>
        <v>938.07999999999993</v>
      </c>
      <c r="I56" s="62"/>
      <c r="J56" s="436"/>
      <c r="K56" s="436">
        <f t="shared" si="7"/>
        <v>0</v>
      </c>
      <c r="L56" s="304"/>
      <c r="N56" s="301"/>
      <c r="O56" s="301"/>
    </row>
    <row r="57" spans="2:15" ht="14.45" x14ac:dyDescent="0.3">
      <c r="D57" s="68">
        <v>3</v>
      </c>
      <c r="E57" s="405" t="s">
        <v>287</v>
      </c>
      <c r="F57" s="68" t="s">
        <v>305</v>
      </c>
      <c r="G57" s="401">
        <v>97</v>
      </c>
      <c r="H57" s="507">
        <f t="shared" si="8"/>
        <v>277.42</v>
      </c>
      <c r="I57" s="62"/>
      <c r="J57" s="436"/>
      <c r="K57" s="436">
        <f t="shared" si="7"/>
        <v>0</v>
      </c>
      <c r="L57" s="304"/>
      <c r="N57" s="301"/>
      <c r="O57" s="301"/>
    </row>
    <row r="58" spans="2:15" ht="14.45" x14ac:dyDescent="0.3">
      <c r="D58" s="68">
        <v>4</v>
      </c>
      <c r="E58" s="405" t="s">
        <v>300</v>
      </c>
      <c r="F58" s="68" t="s">
        <v>305</v>
      </c>
      <c r="G58" s="401">
        <v>168</v>
      </c>
      <c r="H58" s="507">
        <f t="shared" si="8"/>
        <v>480.47999999999996</v>
      </c>
      <c r="I58" s="62"/>
      <c r="J58" s="436"/>
      <c r="K58" s="436">
        <f t="shared" si="7"/>
        <v>0</v>
      </c>
      <c r="L58" s="304"/>
      <c r="N58" s="301"/>
      <c r="O58" s="301"/>
    </row>
    <row r="59" spans="2:15" ht="14.45" x14ac:dyDescent="0.3">
      <c r="D59" s="68">
        <v>5</v>
      </c>
      <c r="E59" s="405" t="s">
        <v>299</v>
      </c>
      <c r="F59" s="68" t="s">
        <v>305</v>
      </c>
      <c r="G59" s="401">
        <v>758</v>
      </c>
      <c r="H59" s="507">
        <f t="shared" si="8"/>
        <v>2167.88</v>
      </c>
      <c r="I59" s="62"/>
      <c r="J59" s="436"/>
      <c r="K59" s="436">
        <f t="shared" si="7"/>
        <v>0</v>
      </c>
      <c r="L59" s="304"/>
      <c r="N59" s="301"/>
      <c r="O59" s="301"/>
    </row>
    <row r="60" spans="2:15" ht="15" customHeight="1" x14ac:dyDescent="0.3">
      <c r="D60" s="73">
        <v>6</v>
      </c>
      <c r="E60" s="405" t="s">
        <v>289</v>
      </c>
      <c r="F60" s="73" t="s">
        <v>305</v>
      </c>
      <c r="G60" s="401">
        <v>662</v>
      </c>
      <c r="H60" s="507">
        <f t="shared" si="8"/>
        <v>1893.32</v>
      </c>
      <c r="I60" s="62"/>
      <c r="J60" s="436"/>
      <c r="K60" s="436">
        <f t="shared" si="7"/>
        <v>0</v>
      </c>
      <c r="L60" s="304"/>
      <c r="N60" s="301"/>
      <c r="O60" s="301"/>
    </row>
    <row r="61" spans="2:15" ht="15" customHeight="1" x14ac:dyDescent="0.3">
      <c r="D61" s="68">
        <v>7</v>
      </c>
      <c r="E61" s="405" t="s">
        <v>290</v>
      </c>
      <c r="F61" s="68" t="s">
        <v>304</v>
      </c>
      <c r="G61" s="401">
        <v>8200</v>
      </c>
      <c r="H61" s="507">
        <f t="shared" si="8"/>
        <v>23452</v>
      </c>
      <c r="I61" s="62"/>
      <c r="J61" s="436">
        <v>452</v>
      </c>
      <c r="K61" s="436">
        <f t="shared" si="7"/>
        <v>1292.72</v>
      </c>
      <c r="L61" s="304"/>
      <c r="N61" s="301"/>
      <c r="O61" s="301"/>
    </row>
    <row r="62" spans="2:15" ht="15" customHeight="1" x14ac:dyDescent="0.3">
      <c r="D62" s="73">
        <v>8</v>
      </c>
      <c r="E62" s="405" t="s">
        <v>291</v>
      </c>
      <c r="F62" s="73" t="s">
        <v>305</v>
      </c>
      <c r="G62" s="401">
        <v>846</v>
      </c>
      <c r="H62" s="507">
        <f t="shared" si="8"/>
        <v>2419.56</v>
      </c>
      <c r="I62" s="62"/>
      <c r="J62" s="436">
        <v>50</v>
      </c>
      <c r="K62" s="436">
        <f t="shared" si="7"/>
        <v>143</v>
      </c>
      <c r="L62" s="304"/>
      <c r="N62" s="301"/>
      <c r="O62" s="301"/>
    </row>
    <row r="63" spans="2:15" ht="14.45" x14ac:dyDescent="0.3">
      <c r="D63" s="68">
        <v>9</v>
      </c>
      <c r="E63" s="405" t="s">
        <v>292</v>
      </c>
      <c r="F63" s="68" t="s">
        <v>305</v>
      </c>
      <c r="G63" s="401">
        <v>2417</v>
      </c>
      <c r="H63" s="507">
        <f t="shared" si="8"/>
        <v>6912.62</v>
      </c>
      <c r="I63" s="62"/>
      <c r="J63" s="436">
        <v>90</v>
      </c>
      <c r="K63" s="436">
        <f t="shared" si="7"/>
        <v>257.39999999999998</v>
      </c>
      <c r="L63" s="304"/>
      <c r="N63" s="301"/>
      <c r="O63" s="301"/>
    </row>
    <row r="64" spans="2:15" ht="14.45" x14ac:dyDescent="0.3">
      <c r="D64" s="68">
        <v>10</v>
      </c>
      <c r="E64" s="405" t="s">
        <v>293</v>
      </c>
      <c r="F64" s="68" t="s">
        <v>305</v>
      </c>
      <c r="G64" s="401">
        <v>6255</v>
      </c>
      <c r="H64" s="507">
        <f t="shared" si="8"/>
        <v>17889.3</v>
      </c>
      <c r="I64" s="62"/>
      <c r="J64" s="436">
        <v>73</v>
      </c>
      <c r="K64" s="436">
        <f t="shared" si="7"/>
        <v>208.78</v>
      </c>
      <c r="L64" s="304"/>
      <c r="N64" s="301"/>
      <c r="O64" s="301"/>
    </row>
    <row r="65" spans="1:15" ht="14.45" x14ac:dyDescent="0.3">
      <c r="D65" s="68">
        <v>11</v>
      </c>
      <c r="E65" s="405" t="s">
        <v>294</v>
      </c>
      <c r="F65" s="68" t="s">
        <v>305</v>
      </c>
      <c r="G65" s="401">
        <v>6500</v>
      </c>
      <c r="H65" s="507">
        <f t="shared" si="8"/>
        <v>18590</v>
      </c>
      <c r="I65" s="62"/>
      <c r="J65" s="106">
        <v>454</v>
      </c>
      <c r="K65" s="436">
        <f t="shared" si="7"/>
        <v>1298.44</v>
      </c>
      <c r="L65" s="304"/>
      <c r="N65" s="301"/>
      <c r="O65" s="301"/>
    </row>
    <row r="66" spans="1:15" ht="14.45" x14ac:dyDescent="0.3">
      <c r="D66" s="68">
        <v>12</v>
      </c>
      <c r="E66" s="405" t="s">
        <v>295</v>
      </c>
      <c r="F66" s="68" t="s">
        <v>305</v>
      </c>
      <c r="G66" s="401">
        <v>2200</v>
      </c>
      <c r="H66" s="507">
        <f t="shared" si="8"/>
        <v>6292</v>
      </c>
      <c r="I66" s="62"/>
      <c r="J66" s="106"/>
      <c r="K66" s="436">
        <f t="shared" si="7"/>
        <v>0</v>
      </c>
      <c r="L66" s="304"/>
      <c r="N66" s="301"/>
      <c r="O66" s="301"/>
    </row>
    <row r="67" spans="1:15" ht="16.5" customHeight="1" x14ac:dyDescent="0.3">
      <c r="D67" s="68">
        <v>13</v>
      </c>
      <c r="E67" s="405" t="s">
        <v>296</v>
      </c>
      <c r="F67" s="59" t="s">
        <v>305</v>
      </c>
      <c r="G67" s="401">
        <v>4750</v>
      </c>
      <c r="H67" s="507">
        <f t="shared" si="8"/>
        <v>13585</v>
      </c>
      <c r="I67" s="62"/>
      <c r="J67" s="436">
        <v>1207.5999999999999</v>
      </c>
      <c r="K67" s="436">
        <f t="shared" si="7"/>
        <v>3453.7359999999994</v>
      </c>
      <c r="L67" s="304"/>
      <c r="N67" s="301"/>
      <c r="O67" s="301"/>
    </row>
    <row r="68" spans="1:15" ht="18" customHeight="1" x14ac:dyDescent="0.3">
      <c r="D68" s="68">
        <v>14</v>
      </c>
      <c r="E68" s="75" t="s">
        <v>297</v>
      </c>
      <c r="F68" s="59" t="s">
        <v>17</v>
      </c>
      <c r="G68" s="401">
        <v>1000</v>
      </c>
      <c r="H68" s="507">
        <f t="shared" si="8"/>
        <v>2860</v>
      </c>
      <c r="I68" s="62"/>
      <c r="J68" s="33"/>
      <c r="K68" s="436">
        <f t="shared" si="7"/>
        <v>0</v>
      </c>
      <c r="L68" s="304"/>
      <c r="N68" s="301"/>
      <c r="O68" s="301"/>
    </row>
    <row r="69" spans="1:15" ht="14.45" x14ac:dyDescent="0.3">
      <c r="D69" s="68">
        <v>15</v>
      </c>
      <c r="E69" s="75" t="s">
        <v>298</v>
      </c>
      <c r="F69" s="68" t="s">
        <v>138</v>
      </c>
      <c r="G69" s="401">
        <v>2000</v>
      </c>
      <c r="H69" s="507">
        <f t="shared" si="8"/>
        <v>5720</v>
      </c>
      <c r="I69" s="62"/>
      <c r="J69" s="33"/>
      <c r="K69" s="436">
        <f t="shared" si="7"/>
        <v>0</v>
      </c>
      <c r="L69" s="304"/>
      <c r="N69" s="301"/>
      <c r="O69" s="301"/>
    </row>
    <row r="70" spans="1:15" ht="14.45" x14ac:dyDescent="0.3">
      <c r="D70" s="68">
        <v>16</v>
      </c>
      <c r="E70" s="75" t="s">
        <v>33</v>
      </c>
      <c r="F70" s="68" t="s">
        <v>33</v>
      </c>
      <c r="G70" s="401">
        <v>7006</v>
      </c>
      <c r="H70" s="507">
        <f t="shared" si="8"/>
        <v>20037.16</v>
      </c>
      <c r="I70" s="62"/>
      <c r="J70" s="33">
        <v>725</v>
      </c>
      <c r="K70" s="436">
        <f t="shared" si="7"/>
        <v>2073.5</v>
      </c>
      <c r="L70" s="304"/>
      <c r="N70" s="301"/>
      <c r="O70" s="301"/>
    </row>
    <row r="71" spans="1:15" s="478" customFormat="1" ht="14.45" x14ac:dyDescent="0.3">
      <c r="D71" s="478">
        <v>17</v>
      </c>
      <c r="E71" s="75" t="s">
        <v>38</v>
      </c>
      <c r="F71" s="478" t="s">
        <v>38</v>
      </c>
      <c r="G71" s="401">
        <f>G42*75%</f>
        <v>6750</v>
      </c>
      <c r="H71" s="401">
        <f>H42*75%</f>
        <v>19305</v>
      </c>
      <c r="I71" s="408"/>
      <c r="J71" s="33">
        <v>399</v>
      </c>
      <c r="K71" s="436">
        <f t="shared" si="7"/>
        <v>1141.1399999999999</v>
      </c>
      <c r="L71" s="408"/>
    </row>
    <row r="72" spans="1:15" s="478" customFormat="1" ht="14.45" x14ac:dyDescent="0.3">
      <c r="D72" s="478">
        <v>18</v>
      </c>
      <c r="E72" s="75" t="s">
        <v>301</v>
      </c>
      <c r="F72" s="478" t="s">
        <v>64</v>
      </c>
      <c r="G72" s="401">
        <f t="shared" ref="G72:H74" si="9">G44*75%</f>
        <v>15210</v>
      </c>
      <c r="H72" s="401">
        <f t="shared" si="9"/>
        <v>43500.6</v>
      </c>
      <c r="I72" s="408"/>
      <c r="J72" s="66"/>
      <c r="K72" s="436">
        <f t="shared" si="7"/>
        <v>0</v>
      </c>
      <c r="L72" s="408"/>
    </row>
    <row r="73" spans="1:15" s="478" customFormat="1" ht="14.45" x14ac:dyDescent="0.3">
      <c r="D73" s="480">
        <v>19</v>
      </c>
      <c r="E73" s="75" t="s">
        <v>40</v>
      </c>
      <c r="F73" s="478" t="s">
        <v>40</v>
      </c>
      <c r="G73" s="401">
        <f t="shared" si="9"/>
        <v>15000</v>
      </c>
      <c r="H73" s="401">
        <f t="shared" si="9"/>
        <v>42900</v>
      </c>
      <c r="I73" s="408"/>
      <c r="J73" s="66">
        <v>760</v>
      </c>
      <c r="K73" s="436">
        <f t="shared" si="7"/>
        <v>2173.6</v>
      </c>
      <c r="L73" s="408"/>
    </row>
    <row r="74" spans="1:15" s="478" customFormat="1" ht="14.45" x14ac:dyDescent="0.3">
      <c r="D74" s="480">
        <v>20</v>
      </c>
      <c r="E74" s="75" t="s">
        <v>307</v>
      </c>
      <c r="F74" s="478" t="s">
        <v>63</v>
      </c>
      <c r="G74" s="401">
        <f t="shared" si="9"/>
        <v>23184.600000000002</v>
      </c>
      <c r="H74" s="401">
        <f t="shared" si="9"/>
        <v>66307.956000000006</v>
      </c>
      <c r="I74" s="408"/>
      <c r="J74" s="66"/>
      <c r="K74" s="436">
        <f t="shared" si="7"/>
        <v>0</v>
      </c>
      <c r="L74" s="408"/>
    </row>
    <row r="75" spans="1:15" s="478" customFormat="1" ht="14.45" x14ac:dyDescent="0.3">
      <c r="D75" s="480">
        <v>21</v>
      </c>
      <c r="E75" s="75" t="s">
        <v>42</v>
      </c>
      <c r="F75" s="478" t="s">
        <v>42</v>
      </c>
      <c r="G75" s="401">
        <f>H47</f>
        <v>88000</v>
      </c>
      <c r="H75" s="508">
        <f>G75</f>
        <v>88000</v>
      </c>
      <c r="I75" s="408"/>
      <c r="J75" s="66"/>
      <c r="K75" s="436">
        <f t="shared" si="7"/>
        <v>0</v>
      </c>
      <c r="L75" s="408"/>
    </row>
    <row r="76" spans="1:15" s="478" customFormat="1" ht="14.45" x14ac:dyDescent="0.3">
      <c r="D76" s="480">
        <v>22</v>
      </c>
      <c r="E76" s="75" t="s">
        <v>443</v>
      </c>
      <c r="F76" s="478" t="s">
        <v>61</v>
      </c>
      <c r="G76" s="401">
        <v>5000</v>
      </c>
      <c r="H76" s="508">
        <f>G76</f>
        <v>5000</v>
      </c>
      <c r="I76" s="408"/>
      <c r="J76" s="66"/>
      <c r="K76" s="436">
        <f t="shared" si="7"/>
        <v>0</v>
      </c>
      <c r="L76" s="408"/>
    </row>
    <row r="77" spans="1:15" ht="14.45" x14ac:dyDescent="0.3">
      <c r="G77" s="62"/>
      <c r="H77" s="67"/>
      <c r="I77" s="3"/>
      <c r="J77" s="66"/>
      <c r="K77" s="298"/>
      <c r="L77" s="298"/>
    </row>
    <row r="78" spans="1:15" s="310" customFormat="1" ht="14.45" x14ac:dyDescent="0.3">
      <c r="D78" s="288" t="s">
        <v>83</v>
      </c>
      <c r="E78" s="288"/>
      <c r="F78" s="288"/>
      <c r="G78" s="98">
        <f>SUM(G55:G76)</f>
        <v>204831.6</v>
      </c>
      <c r="H78" s="98">
        <f>SUM(H55:H76)</f>
        <v>412838.37600000005</v>
      </c>
      <c r="I78" s="311"/>
      <c r="J78" s="66"/>
      <c r="K78" s="311"/>
      <c r="L78" s="311"/>
    </row>
    <row r="79" spans="1:15" s="478" customFormat="1" ht="14.45" x14ac:dyDescent="0.3">
      <c r="G79" s="408"/>
      <c r="H79" s="428"/>
      <c r="I79" s="368"/>
      <c r="J79" s="66"/>
      <c r="K79" s="368"/>
      <c r="L79" s="368"/>
    </row>
    <row r="80" spans="1:15" s="253" customFormat="1" ht="14.45" x14ac:dyDescent="0.3">
      <c r="A80" s="174" t="s">
        <v>224</v>
      </c>
      <c r="E80" s="62"/>
      <c r="F80" s="67"/>
      <c r="G80" s="163"/>
      <c r="H80" s="66"/>
      <c r="I80" s="19"/>
    </row>
    <row r="81" spans="1:9" s="305" customFormat="1" x14ac:dyDescent="0.25">
      <c r="A81" s="308"/>
      <c r="B81" s="310" t="s">
        <v>432</v>
      </c>
      <c r="E81" s="307"/>
      <c r="F81" s="67"/>
      <c r="G81" s="306"/>
      <c r="H81" s="66"/>
      <c r="I81" s="309"/>
    </row>
    <row r="82" spans="1:9" s="305" customFormat="1" x14ac:dyDescent="0.25">
      <c r="A82" s="308"/>
      <c r="B82" s="605" t="s">
        <v>464</v>
      </c>
      <c r="E82" s="307"/>
      <c r="F82" s="67"/>
      <c r="G82" s="306"/>
      <c r="H82" s="66"/>
      <c r="I82" s="309"/>
    </row>
    <row r="83" spans="1:9" s="305" customFormat="1" x14ac:dyDescent="0.25">
      <c r="B83" s="310"/>
      <c r="E83" s="307"/>
      <c r="F83" s="67"/>
      <c r="G83" s="306"/>
      <c r="H83" s="66"/>
      <c r="I83" s="309"/>
    </row>
    <row r="84" spans="1:9" s="305" customFormat="1" x14ac:dyDescent="0.25">
      <c r="A84" s="308" t="s">
        <v>465</v>
      </c>
      <c r="B84" s="310"/>
      <c r="E84" s="307"/>
      <c r="F84" s="67"/>
      <c r="G84" s="306"/>
      <c r="H84" s="66"/>
      <c r="I84" s="309"/>
    </row>
    <row r="85" spans="1:9" s="604" customFormat="1" x14ac:dyDescent="0.25">
      <c r="A85" s="595"/>
      <c r="B85" s="604">
        <v>1</v>
      </c>
      <c r="D85" s="604" t="s">
        <v>445</v>
      </c>
      <c r="E85" s="408"/>
      <c r="F85" s="428"/>
      <c r="G85" s="368"/>
      <c r="H85" s="66"/>
      <c r="I85" s="314"/>
    </row>
    <row r="86" spans="1:9" s="604" customFormat="1" x14ac:dyDescent="0.25">
      <c r="A86" s="595"/>
      <c r="B86" s="604">
        <v>2</v>
      </c>
      <c r="D86" s="604" t="s">
        <v>462</v>
      </c>
      <c r="E86" s="408"/>
      <c r="F86" s="428"/>
      <c r="G86" s="368"/>
      <c r="H86" s="66"/>
      <c r="I86" s="314"/>
    </row>
    <row r="87" spans="1:9" s="604" customFormat="1" x14ac:dyDescent="0.25">
      <c r="A87" s="595"/>
      <c r="B87" s="604">
        <v>3</v>
      </c>
      <c r="D87" s="604" t="s">
        <v>462</v>
      </c>
      <c r="E87" s="408"/>
      <c r="F87" s="428"/>
      <c r="G87" s="368"/>
      <c r="H87" s="66"/>
      <c r="I87" s="314"/>
    </row>
    <row r="88" spans="1:9" s="604" customFormat="1" x14ac:dyDescent="0.25">
      <c r="A88" s="595"/>
      <c r="B88" s="604">
        <v>4</v>
      </c>
      <c r="D88" s="604" t="s">
        <v>462</v>
      </c>
      <c r="E88" s="408"/>
      <c r="F88" s="428"/>
      <c r="G88" s="368"/>
      <c r="H88" s="66"/>
      <c r="I88" s="314"/>
    </row>
    <row r="89" spans="1:9" s="604" customFormat="1" x14ac:dyDescent="0.25">
      <c r="A89" s="595"/>
      <c r="B89" s="604">
        <v>5</v>
      </c>
      <c r="D89" s="604" t="s">
        <v>462</v>
      </c>
      <c r="E89" s="408"/>
      <c r="F89" s="428"/>
      <c r="G89" s="368"/>
      <c r="H89" s="66"/>
      <c r="I89" s="314"/>
    </row>
    <row r="90" spans="1:9" s="604" customFormat="1" x14ac:dyDescent="0.25">
      <c r="A90" s="595"/>
      <c r="B90" s="604">
        <v>6</v>
      </c>
      <c r="D90" s="604" t="s">
        <v>462</v>
      </c>
      <c r="E90" s="408"/>
      <c r="F90" s="428"/>
      <c r="G90" s="368"/>
      <c r="H90" s="66"/>
      <c r="I90" s="314"/>
    </row>
    <row r="91" spans="1:9" s="604" customFormat="1" x14ac:dyDescent="0.25">
      <c r="A91" s="595"/>
      <c r="B91" s="604">
        <v>7</v>
      </c>
      <c r="D91" s="604" t="s">
        <v>462</v>
      </c>
      <c r="E91" s="408"/>
      <c r="F91" s="428"/>
      <c r="G91" s="368"/>
      <c r="H91" s="66"/>
      <c r="I91" s="314"/>
    </row>
    <row r="92" spans="1:9" s="604" customFormat="1" x14ac:dyDescent="0.25">
      <c r="A92" s="595"/>
      <c r="B92" s="604">
        <v>8</v>
      </c>
      <c r="D92" s="604" t="s">
        <v>462</v>
      </c>
      <c r="E92" s="408"/>
      <c r="F92" s="428"/>
      <c r="G92" s="368"/>
      <c r="H92" s="66"/>
      <c r="I92" s="314"/>
    </row>
    <row r="93" spans="1:9" s="604" customFormat="1" x14ac:dyDescent="0.25">
      <c r="A93" s="595"/>
      <c r="B93" s="604">
        <v>9</v>
      </c>
      <c r="D93" s="604" t="s">
        <v>462</v>
      </c>
      <c r="E93" s="408"/>
      <c r="F93" s="428"/>
      <c r="G93" s="368"/>
      <c r="H93" s="66"/>
      <c r="I93" s="314"/>
    </row>
    <row r="94" spans="1:9" s="604" customFormat="1" x14ac:dyDescent="0.25">
      <c r="A94" s="595"/>
      <c r="B94" s="604">
        <v>10</v>
      </c>
      <c r="D94" s="604" t="s">
        <v>462</v>
      </c>
      <c r="E94" s="408"/>
      <c r="F94" s="428"/>
      <c r="G94" s="368"/>
      <c r="H94" s="66"/>
      <c r="I94" s="314"/>
    </row>
    <row r="95" spans="1:9" s="604" customFormat="1" x14ac:dyDescent="0.25">
      <c r="A95" s="595"/>
      <c r="B95" s="604">
        <v>11</v>
      </c>
      <c r="D95" s="604" t="s">
        <v>462</v>
      </c>
      <c r="E95" s="408"/>
      <c r="F95" s="428"/>
      <c r="G95" s="368"/>
      <c r="H95" s="66"/>
      <c r="I95" s="314"/>
    </row>
    <row r="96" spans="1:9" s="604" customFormat="1" x14ac:dyDescent="0.25">
      <c r="A96" s="595"/>
      <c r="B96" s="604">
        <v>12</v>
      </c>
      <c r="D96" s="604" t="s">
        <v>462</v>
      </c>
      <c r="E96" s="408"/>
      <c r="F96" s="428"/>
      <c r="G96" s="368"/>
      <c r="H96" s="66"/>
      <c r="I96" s="314"/>
    </row>
    <row r="97" spans="1:9" s="604" customFormat="1" x14ac:dyDescent="0.25">
      <c r="A97" s="595"/>
      <c r="B97" s="604">
        <v>13</v>
      </c>
      <c r="D97" s="604" t="s">
        <v>462</v>
      </c>
      <c r="E97" s="408"/>
      <c r="F97" s="428"/>
      <c r="G97" s="368"/>
      <c r="H97" s="66"/>
      <c r="I97" s="314"/>
    </row>
    <row r="98" spans="1:9" s="604" customFormat="1" x14ac:dyDescent="0.25">
      <c r="A98" s="595"/>
      <c r="B98" s="480">
        <v>14</v>
      </c>
      <c r="D98" s="604" t="s">
        <v>462</v>
      </c>
      <c r="E98" s="408"/>
      <c r="F98" s="428"/>
      <c r="G98" s="368"/>
      <c r="H98" s="66"/>
      <c r="I98" s="314"/>
    </row>
    <row r="99" spans="1:9" s="604" customFormat="1" x14ac:dyDescent="0.25">
      <c r="A99" s="595"/>
      <c r="B99" s="480">
        <v>15</v>
      </c>
      <c r="D99" s="604" t="s">
        <v>462</v>
      </c>
      <c r="E99" s="408"/>
      <c r="F99" s="428"/>
      <c r="G99" s="368"/>
      <c r="H99" s="66"/>
      <c r="I99" s="314"/>
    </row>
    <row r="100" spans="1:9" s="604" customFormat="1" x14ac:dyDescent="0.25">
      <c r="A100" s="595"/>
      <c r="B100" s="480">
        <v>16</v>
      </c>
      <c r="D100" s="480" t="s">
        <v>461</v>
      </c>
      <c r="E100" s="408"/>
      <c r="F100" s="428"/>
      <c r="G100" s="368"/>
      <c r="H100" s="66"/>
      <c r="I100" s="314"/>
    </row>
    <row r="101" spans="1:9" s="305" customFormat="1" x14ac:dyDescent="0.25">
      <c r="A101" s="308"/>
      <c r="B101" s="480">
        <v>17</v>
      </c>
      <c r="D101" s="480" t="s">
        <v>461</v>
      </c>
      <c r="E101" s="307"/>
      <c r="F101" s="67"/>
      <c r="G101" s="306"/>
      <c r="H101" s="66"/>
      <c r="I101" s="309"/>
    </row>
    <row r="102" spans="1:9" s="310" customFormat="1" x14ac:dyDescent="0.25">
      <c r="A102" s="313"/>
      <c r="B102" s="480">
        <v>18</v>
      </c>
      <c r="D102" s="604" t="s">
        <v>462</v>
      </c>
      <c r="E102" s="312"/>
      <c r="F102" s="67"/>
      <c r="G102" s="311"/>
      <c r="H102" s="66"/>
      <c r="I102" s="314"/>
    </row>
    <row r="103" spans="1:9" s="253" customFormat="1" x14ac:dyDescent="0.25">
      <c r="B103" s="480">
        <v>19</v>
      </c>
      <c r="C103" s="299"/>
      <c r="D103" s="604" t="s">
        <v>445</v>
      </c>
      <c r="E103" s="62"/>
      <c r="F103" s="67"/>
      <c r="G103" s="163"/>
      <c r="H103" s="66"/>
    </row>
    <row r="104" spans="1:9" s="253" customFormat="1" ht="15.75" x14ac:dyDescent="0.25">
      <c r="B104" s="480">
        <v>20</v>
      </c>
      <c r="C104" s="300"/>
      <c r="D104" s="604" t="s">
        <v>445</v>
      </c>
      <c r="E104" s="271"/>
      <c r="F104" s="272"/>
      <c r="G104" s="273"/>
      <c r="H104" s="274"/>
    </row>
    <row r="105" spans="1:9" s="253" customFormat="1" ht="15.75" x14ac:dyDescent="0.25">
      <c r="B105" s="480">
        <v>21</v>
      </c>
      <c r="D105" s="604" t="s">
        <v>445</v>
      </c>
      <c r="E105" s="271"/>
      <c r="F105" s="272"/>
      <c r="G105" s="273"/>
      <c r="H105" s="274"/>
    </row>
    <row r="106" spans="1:9" s="253" customFormat="1" ht="15.75" x14ac:dyDescent="0.25">
      <c r="B106" s="480">
        <v>22</v>
      </c>
      <c r="D106" s="604" t="s">
        <v>445</v>
      </c>
      <c r="E106" s="271"/>
      <c r="F106" s="272"/>
      <c r="G106" s="273"/>
      <c r="H106" s="274"/>
    </row>
    <row r="107" spans="1:9" s="604" customFormat="1" ht="15.75" x14ac:dyDescent="0.25">
      <c r="B107" s="480"/>
      <c r="D107" s="74"/>
      <c r="E107" s="271"/>
      <c r="F107" s="272"/>
      <c r="G107" s="273"/>
      <c r="H107" s="274"/>
    </row>
    <row r="108" spans="1:9" s="253" customFormat="1" ht="15.75" x14ac:dyDescent="0.25">
      <c r="A108" s="174" t="s">
        <v>225</v>
      </c>
      <c r="B108" s="74"/>
      <c r="D108" s="74"/>
      <c r="E108" s="271"/>
      <c r="F108" s="272"/>
      <c r="G108" s="273"/>
      <c r="H108" s="274"/>
    </row>
    <row r="109" spans="1:9" s="253" customFormat="1" ht="15.75" x14ac:dyDescent="0.25">
      <c r="A109" s="174"/>
      <c r="B109" s="605" t="s">
        <v>464</v>
      </c>
      <c r="F109" s="272"/>
      <c r="G109" s="273"/>
      <c r="H109" s="274"/>
    </row>
    <row r="110" spans="1:9" s="604" customFormat="1" ht="15.75" x14ac:dyDescent="0.25">
      <c r="A110" s="595"/>
      <c r="B110" s="604" t="s">
        <v>432</v>
      </c>
      <c r="F110" s="272"/>
      <c r="G110" s="273"/>
      <c r="H110" s="274"/>
    </row>
    <row r="111" spans="1:9" x14ac:dyDescent="0.25">
      <c r="B111" s="305"/>
    </row>
    <row r="112" spans="1:9" x14ac:dyDescent="0.25">
      <c r="A112" s="174" t="s">
        <v>463</v>
      </c>
      <c r="B112" s="305"/>
    </row>
    <row r="113" spans="2:5" ht="15.75" x14ac:dyDescent="0.25">
      <c r="B113" s="604">
        <v>1</v>
      </c>
      <c r="C113" s="253"/>
      <c r="D113" s="68" t="s">
        <v>462</v>
      </c>
      <c r="E113" s="271"/>
    </row>
    <row r="114" spans="2:5" ht="15.75" x14ac:dyDescent="0.25">
      <c r="B114" s="604">
        <v>2</v>
      </c>
      <c r="C114" s="253"/>
      <c r="D114" s="604" t="s">
        <v>462</v>
      </c>
      <c r="E114" s="271"/>
    </row>
    <row r="115" spans="2:5" ht="15.75" x14ac:dyDescent="0.25">
      <c r="B115" s="604">
        <v>3</v>
      </c>
      <c r="C115" s="253"/>
      <c r="D115" s="604" t="s">
        <v>462</v>
      </c>
      <c r="E115" s="271"/>
    </row>
    <row r="116" spans="2:5" ht="15.75" x14ac:dyDescent="0.25">
      <c r="B116" s="604">
        <v>4</v>
      </c>
      <c r="C116" s="253"/>
      <c r="D116" s="604" t="s">
        <v>462</v>
      </c>
      <c r="E116" s="271"/>
    </row>
    <row r="117" spans="2:5" ht="15.75" x14ac:dyDescent="0.25">
      <c r="B117" s="604">
        <v>5</v>
      </c>
      <c r="C117" s="253"/>
      <c r="D117" s="604" t="s">
        <v>462</v>
      </c>
      <c r="E117" s="271"/>
    </row>
    <row r="118" spans="2:5" ht="15.75" x14ac:dyDescent="0.25">
      <c r="B118" s="604">
        <v>6</v>
      </c>
      <c r="C118" s="253"/>
      <c r="D118" s="604" t="s">
        <v>462</v>
      </c>
      <c r="E118" s="271"/>
    </row>
    <row r="119" spans="2:5" ht="15.75" x14ac:dyDescent="0.25">
      <c r="B119" s="604">
        <v>7</v>
      </c>
      <c r="C119" s="253"/>
      <c r="D119" s="604" t="s">
        <v>462</v>
      </c>
      <c r="E119" s="271"/>
    </row>
    <row r="120" spans="2:5" ht="15.75" x14ac:dyDescent="0.25">
      <c r="B120" s="604">
        <v>8</v>
      </c>
      <c r="C120" s="253"/>
      <c r="D120" s="604" t="s">
        <v>462</v>
      </c>
      <c r="E120" s="271"/>
    </row>
    <row r="121" spans="2:5" ht="15.75" x14ac:dyDescent="0.25">
      <c r="B121" s="604">
        <v>9</v>
      </c>
      <c r="C121" s="253"/>
      <c r="D121" s="604" t="s">
        <v>462</v>
      </c>
      <c r="E121" s="271"/>
    </row>
    <row r="122" spans="2:5" ht="15.75" x14ac:dyDescent="0.25">
      <c r="B122" s="604">
        <v>10</v>
      </c>
      <c r="C122" s="253"/>
      <c r="D122" s="604" t="s">
        <v>462</v>
      </c>
      <c r="E122" s="271"/>
    </row>
    <row r="123" spans="2:5" x14ac:dyDescent="0.25">
      <c r="B123" s="604">
        <v>11</v>
      </c>
      <c r="C123" s="253"/>
      <c r="D123" s="604" t="s">
        <v>462</v>
      </c>
      <c r="E123" s="253"/>
    </row>
    <row r="124" spans="2:5" x14ac:dyDescent="0.25">
      <c r="B124" s="604">
        <v>12</v>
      </c>
      <c r="D124" s="604" t="s">
        <v>462</v>
      </c>
    </row>
    <row r="125" spans="2:5" x14ac:dyDescent="0.25">
      <c r="B125" s="604">
        <v>13</v>
      </c>
      <c r="D125" s="604" t="s">
        <v>462</v>
      </c>
    </row>
    <row r="126" spans="2:5" x14ac:dyDescent="0.25">
      <c r="B126" s="480">
        <v>14</v>
      </c>
      <c r="D126" s="604" t="s">
        <v>462</v>
      </c>
    </row>
    <row r="127" spans="2:5" x14ac:dyDescent="0.25">
      <c r="B127" s="480">
        <v>15</v>
      </c>
      <c r="D127" s="604" t="s">
        <v>462</v>
      </c>
    </row>
    <row r="128" spans="2:5" x14ac:dyDescent="0.25">
      <c r="B128" s="480">
        <v>16</v>
      </c>
      <c r="D128" s="480" t="s">
        <v>461</v>
      </c>
    </row>
    <row r="129" spans="2:4" x14ac:dyDescent="0.25">
      <c r="B129" s="480">
        <v>17</v>
      </c>
      <c r="D129" s="480" t="s">
        <v>461</v>
      </c>
    </row>
    <row r="130" spans="2:4" x14ac:dyDescent="0.25">
      <c r="B130" s="480">
        <v>18</v>
      </c>
      <c r="D130" s="604" t="s">
        <v>462</v>
      </c>
    </row>
    <row r="131" spans="2:4" x14ac:dyDescent="0.25">
      <c r="B131" s="480">
        <v>19</v>
      </c>
      <c r="D131" s="604" t="s">
        <v>445</v>
      </c>
    </row>
    <row r="132" spans="2:4" x14ac:dyDescent="0.25">
      <c r="B132" s="480">
        <v>20</v>
      </c>
      <c r="D132" s="478" t="s">
        <v>445</v>
      </c>
    </row>
    <row r="133" spans="2:4" x14ac:dyDescent="0.25">
      <c r="B133" s="480">
        <v>21</v>
      </c>
      <c r="D133" s="478" t="s">
        <v>445</v>
      </c>
    </row>
    <row r="134" spans="2:4" x14ac:dyDescent="0.25">
      <c r="B134" s="480">
        <v>22</v>
      </c>
      <c r="D134" s="478" t="s">
        <v>445</v>
      </c>
    </row>
  </sheetData>
  <mergeCells count="2">
    <mergeCell ref="B4:C4"/>
    <mergeCell ref="B5:C5"/>
  </mergeCells>
  <dataValidations count="3">
    <dataValidation type="list" showInputMessage="1" showErrorMessage="1" sqref="F55:F79 F27:F50">
      <formula1>$E$4:$E$16</formula1>
    </dataValidation>
    <dataValidation type="list" showInputMessage="1" showErrorMessage="1" sqref="D80:D84 D107:D108">
      <formula1>#REF!</formula1>
    </dataValidation>
    <dataValidation showInputMessage="1" showErrorMessage="1" sqref="E4:E16"/>
  </dataValidation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3"/>
  <sheetViews>
    <sheetView topLeftCell="A151" workbookViewId="0">
      <selection activeCell="M186" sqref="M186"/>
    </sheetView>
  </sheetViews>
  <sheetFormatPr defaultColWidth="8.85546875" defaultRowHeight="15" x14ac:dyDescent="0.25"/>
  <cols>
    <col min="1" max="1" width="16.42578125" customWidth="1"/>
    <col min="2" max="2" width="15" customWidth="1"/>
    <col min="3" max="3" width="14.7109375" customWidth="1"/>
    <col min="4" max="4" width="16.28515625" customWidth="1"/>
  </cols>
  <sheetData>
    <row r="2" spans="1:6" x14ac:dyDescent="0.25">
      <c r="A2" t="s">
        <v>202</v>
      </c>
      <c r="B2">
        <v>1</v>
      </c>
      <c r="C2">
        <v>10</v>
      </c>
      <c r="D2">
        <v>50</v>
      </c>
      <c r="E2">
        <v>100</v>
      </c>
    </row>
    <row r="3" spans="1:6" x14ac:dyDescent="0.25">
      <c r="A3" t="s">
        <v>203</v>
      </c>
      <c r="B3">
        <f>'CBS ($ per kW)'!J1</f>
        <v>360.28</v>
      </c>
      <c r="C3" s="237">
        <f>'CBS ($ per kW)'!L1</f>
        <v>3602.7999999999997</v>
      </c>
      <c r="D3" s="237">
        <f>'CBS ($ per kW)'!N1</f>
        <v>18014</v>
      </c>
      <c r="E3" s="237">
        <f>'CBS ($ per kW)'!P1</f>
        <v>36028</v>
      </c>
      <c r="F3" s="237"/>
    </row>
    <row r="4" spans="1:6" x14ac:dyDescent="0.25">
      <c r="A4" s="237" t="s">
        <v>204</v>
      </c>
      <c r="B4">
        <f>B3/1000</f>
        <v>0.36027999999999999</v>
      </c>
      <c r="C4" s="237">
        <f t="shared" ref="C4:E4" si="0">C3/1000</f>
        <v>3.6027999999999998</v>
      </c>
      <c r="D4" s="237">
        <f t="shared" si="0"/>
        <v>18.013999999999999</v>
      </c>
      <c r="E4" s="237">
        <f t="shared" si="0"/>
        <v>36.027999999999999</v>
      </c>
    </row>
    <row r="26" s="253" customFormat="1" ht="14.45" x14ac:dyDescent="0.3"/>
    <row r="27" s="253" customFormat="1" ht="14.45" x14ac:dyDescent="0.3"/>
    <row r="28" s="253" customFormat="1" ht="14.45" x14ac:dyDescent="0.3"/>
    <row r="29" s="253" customFormat="1" ht="14.45" x14ac:dyDescent="0.3"/>
    <row r="30" s="253" customFormat="1" ht="14.45" x14ac:dyDescent="0.3"/>
    <row r="31" s="253" customFormat="1" ht="14.45" x14ac:dyDescent="0.3"/>
    <row r="32" s="253" customFormat="1" ht="14.45" x14ac:dyDescent="0.3"/>
    <row r="33" s="253" customFormat="1" ht="14.45" x14ac:dyDescent="0.3"/>
    <row r="34" s="253" customFormat="1" ht="14.45" x14ac:dyDescent="0.3"/>
    <row r="35" s="253" customFormat="1" ht="14.45" x14ac:dyDescent="0.3"/>
    <row r="36" s="253" customFormat="1" ht="14.45" x14ac:dyDescent="0.3"/>
    <row r="37" s="253" customFormat="1" ht="14.45" x14ac:dyDescent="0.3"/>
    <row r="38" s="253" customFormat="1" ht="14.45" x14ac:dyDescent="0.3"/>
    <row r="39" s="253" customFormat="1" ht="14.45" x14ac:dyDescent="0.3"/>
    <row r="40" s="253" customFormat="1" ht="14.45" x14ac:dyDescent="0.3"/>
    <row r="41" s="253" customFormat="1" ht="14.45" x14ac:dyDescent="0.3"/>
    <row r="42" s="253" customFormat="1" ht="14.45" x14ac:dyDescent="0.3"/>
    <row r="43" s="253" customFormat="1" ht="14.45" x14ac:dyDescent="0.3"/>
    <row r="44" s="253" customFormat="1" ht="14.45" x14ac:dyDescent="0.3"/>
    <row r="45" s="253" customFormat="1" ht="14.45" x14ac:dyDescent="0.3"/>
    <row r="46" s="253" customFormat="1" ht="14.45" x14ac:dyDescent="0.3"/>
    <row r="47" s="253" customFormat="1" ht="14.45" x14ac:dyDescent="0.3"/>
    <row r="48" s="253" customFormat="1" ht="14.45" x14ac:dyDescent="0.3"/>
    <row r="49" s="253" customFormat="1" ht="14.45" x14ac:dyDescent="0.3"/>
    <row r="50" s="253" customFormat="1" x14ac:dyDescent="0.25"/>
    <row r="51" s="253" customFormat="1" x14ac:dyDescent="0.25"/>
    <row r="52" s="253" customFormat="1" x14ac:dyDescent="0.25"/>
    <row r="53" s="253" customFormat="1" x14ac:dyDescent="0.25"/>
    <row r="54" s="253" customFormat="1" x14ac:dyDescent="0.25"/>
    <row r="55" s="253" customFormat="1" x14ac:dyDescent="0.25"/>
    <row r="56" s="253" customFormat="1" x14ac:dyDescent="0.25"/>
    <row r="57" s="253" customFormat="1" x14ac:dyDescent="0.25"/>
    <row r="58" s="253" customFormat="1" x14ac:dyDescent="0.25"/>
    <row r="59" s="253" customFormat="1" x14ac:dyDescent="0.25"/>
    <row r="60" s="253" customFormat="1" x14ac:dyDescent="0.25"/>
    <row r="61" s="253" customFormat="1" x14ac:dyDescent="0.25"/>
    <row r="62" s="253" customFormat="1" x14ac:dyDescent="0.25"/>
    <row r="63" s="253" customFormat="1" x14ac:dyDescent="0.25"/>
    <row r="64" s="253" customFormat="1" x14ac:dyDescent="0.25"/>
    <row r="65" s="253" customFormat="1" x14ac:dyDescent="0.25"/>
    <row r="66" s="253" customFormat="1" x14ac:dyDescent="0.25"/>
    <row r="67" s="253" customFormat="1" x14ac:dyDescent="0.25"/>
    <row r="68" s="253" customFormat="1" x14ac:dyDescent="0.25"/>
    <row r="69" s="253" customFormat="1" x14ac:dyDescent="0.25"/>
    <row r="110" s="253" customFormat="1" x14ac:dyDescent="0.25"/>
    <row r="111" s="253" customFormat="1" x14ac:dyDescent="0.25"/>
    <row r="112" s="253" customFormat="1" x14ac:dyDescent="0.25"/>
    <row r="113" s="253" customFormat="1" x14ac:dyDescent="0.25"/>
    <row r="114" s="253" customFormat="1" x14ac:dyDescent="0.25"/>
    <row r="115" s="253" customFormat="1" x14ac:dyDescent="0.25"/>
    <row r="116" s="253" customFormat="1" x14ac:dyDescent="0.25"/>
    <row r="117" s="253" customFormat="1" x14ac:dyDescent="0.25"/>
    <row r="118" s="253" customFormat="1" x14ac:dyDescent="0.25"/>
    <row r="119" s="253" customFormat="1" x14ac:dyDescent="0.25"/>
    <row r="120" s="253" customFormat="1" x14ac:dyDescent="0.25"/>
    <row r="121" s="253" customFormat="1" x14ac:dyDescent="0.25"/>
    <row r="122" s="253" customFormat="1" x14ac:dyDescent="0.25"/>
    <row r="123" s="253" customFormat="1" x14ac:dyDescent="0.25"/>
    <row r="124" s="253" customFormat="1" x14ac:dyDescent="0.25"/>
    <row r="125" s="253" customFormat="1" x14ac:dyDescent="0.25"/>
    <row r="126" s="253" customFormat="1" x14ac:dyDescent="0.25"/>
    <row r="127" s="253" customFormat="1" x14ac:dyDescent="0.25"/>
    <row r="129" s="253" customFormat="1" x14ac:dyDescent="0.25"/>
    <row r="130" s="253" customFormat="1" x14ac:dyDescent="0.25"/>
    <row r="131" s="253" customFormat="1" x14ac:dyDescent="0.25"/>
    <row r="133" s="253" customFormat="1" x14ac:dyDescent="0.25"/>
    <row r="134" s="253" customFormat="1" x14ac:dyDescent="0.25"/>
    <row r="135" s="253" customFormat="1" x14ac:dyDescent="0.25"/>
    <row r="136" s="253" customFormat="1" x14ac:dyDescent="0.25"/>
    <row r="137" s="253" customFormat="1" x14ac:dyDescent="0.25"/>
    <row r="138" s="253" customFormat="1" x14ac:dyDescent="0.25"/>
    <row r="139" s="253" customFormat="1" x14ac:dyDescent="0.25"/>
    <row r="140" s="253" customFormat="1" x14ac:dyDescent="0.25"/>
    <row r="141" s="253" customFormat="1" x14ac:dyDescent="0.25"/>
    <row r="155" spans="1:4" s="247" customFormat="1" x14ac:dyDescent="0.25"/>
    <row r="156" spans="1:4" x14ac:dyDescent="0.25">
      <c r="A156" t="s">
        <v>209</v>
      </c>
    </row>
    <row r="158" spans="1:4" x14ac:dyDescent="0.25">
      <c r="A158" t="s">
        <v>205</v>
      </c>
      <c r="B158" t="s">
        <v>206</v>
      </c>
      <c r="C158" t="s">
        <v>207</v>
      </c>
      <c r="D158" t="s">
        <v>208</v>
      </c>
    </row>
    <row r="159" spans="1:4" x14ac:dyDescent="0.25">
      <c r="A159" s="248">
        <v>1.1999999999999997</v>
      </c>
      <c r="B159" s="248">
        <v>2.2597810166080361</v>
      </c>
      <c r="C159" s="248"/>
      <c r="D159" s="248"/>
    </row>
    <row r="160" spans="1:4" x14ac:dyDescent="0.25">
      <c r="A160" s="248">
        <v>1.3999999999999992</v>
      </c>
      <c r="B160" s="248">
        <v>2.6364111860427073</v>
      </c>
      <c r="C160" s="248"/>
      <c r="D160" s="248"/>
    </row>
    <row r="161" spans="1:5" x14ac:dyDescent="0.25">
      <c r="A161" s="248">
        <v>1.599999999999999</v>
      </c>
      <c r="B161" s="248">
        <v>3.0130413554773803</v>
      </c>
      <c r="C161" s="248"/>
      <c r="D161" s="248"/>
    </row>
    <row r="162" spans="1:5" x14ac:dyDescent="0.25">
      <c r="A162" s="248">
        <v>1.8</v>
      </c>
      <c r="B162" s="248">
        <v>3.3896715249120541</v>
      </c>
      <c r="C162" s="248"/>
      <c r="D162" s="248"/>
    </row>
    <row r="163" spans="1:5" x14ac:dyDescent="0.25">
      <c r="A163" s="248">
        <v>2</v>
      </c>
      <c r="B163" s="248">
        <v>3.7663016943467267</v>
      </c>
      <c r="C163" s="248"/>
      <c r="D163" s="248"/>
    </row>
    <row r="164" spans="1:5" x14ac:dyDescent="0.25">
      <c r="A164" s="248"/>
      <c r="B164" s="248"/>
      <c r="C164" s="248"/>
      <c r="D164" s="248"/>
      <c r="E164" t="s">
        <v>230</v>
      </c>
    </row>
    <row r="181" s="253" customFormat="1" x14ac:dyDescent="0.25"/>
    <row r="182" s="253" customFormat="1" x14ac:dyDescent="0.25"/>
    <row r="183" s="253" customFormat="1" x14ac:dyDescent="0.25"/>
    <row r="184" s="253" customFormat="1" x14ac:dyDescent="0.25"/>
    <row r="185" s="253" customFormat="1" x14ac:dyDescent="0.25"/>
    <row r="186" s="253" customFormat="1" x14ac:dyDescent="0.25"/>
    <row r="187" s="253" customFormat="1" x14ac:dyDescent="0.25"/>
    <row r="188" s="253" customFormat="1" x14ac:dyDescent="0.25"/>
    <row r="189" s="253" customFormat="1" x14ac:dyDescent="0.25"/>
    <row r="190" s="253" customFormat="1" x14ac:dyDescent="0.25"/>
    <row r="191" s="253" customFormat="1" x14ac:dyDescent="0.25"/>
    <row r="192" s="253" customFormat="1" x14ac:dyDescent="0.25"/>
    <row r="203" s="253" customFormat="1" x14ac:dyDescent="0.25"/>
    <row r="204" s="253" customFormat="1" x14ac:dyDescent="0.25"/>
    <row r="205" s="253" customFormat="1" x14ac:dyDescent="0.25"/>
    <row r="206" s="253" customFormat="1" x14ac:dyDescent="0.25"/>
    <row r="207" s="253" customFormat="1" x14ac:dyDescent="0.25"/>
    <row r="216" spans="1:21" x14ac:dyDescent="0.25">
      <c r="A216" s="249" t="s">
        <v>210</v>
      </c>
      <c r="B216" s="252"/>
      <c r="C216" s="250"/>
      <c r="D216" s="250"/>
      <c r="E216" s="250"/>
      <c r="F216" s="250"/>
      <c r="G216" s="250"/>
      <c r="H216" s="250"/>
      <c r="I216" s="250"/>
      <c r="J216" s="250"/>
      <c r="K216" s="250"/>
      <c r="L216" s="250"/>
      <c r="M216" s="250"/>
      <c r="N216" s="250"/>
      <c r="O216" s="250"/>
      <c r="P216" s="250"/>
      <c r="Q216" s="250"/>
      <c r="R216" s="250"/>
      <c r="S216" s="250"/>
      <c r="T216" s="250"/>
      <c r="U216" s="250"/>
    </row>
    <row r="217" spans="1:21" x14ac:dyDescent="0.25">
      <c r="A217" s="249" t="s">
        <v>194</v>
      </c>
      <c r="B217" s="251"/>
      <c r="C217" s="251"/>
      <c r="D217" s="251"/>
      <c r="E217" s="251"/>
      <c r="F217" s="251"/>
      <c r="G217" s="251"/>
      <c r="H217" s="251"/>
      <c r="I217" s="251"/>
      <c r="J217" s="251"/>
      <c r="K217" s="251"/>
      <c r="L217" s="251"/>
      <c r="M217" s="251"/>
      <c r="N217" s="251"/>
      <c r="O217" s="251"/>
      <c r="P217" s="251"/>
      <c r="Q217" s="251"/>
      <c r="R217" s="251"/>
      <c r="S217" s="251"/>
      <c r="T217" s="251"/>
      <c r="U217" s="251"/>
    </row>
    <row r="219" spans="1:21" x14ac:dyDescent="0.25">
      <c r="A219" s="1228" t="s">
        <v>211</v>
      </c>
      <c r="B219" s="1229"/>
    </row>
    <row r="220" spans="1:21" x14ac:dyDescent="0.25">
      <c r="A220" s="255" t="s">
        <v>194</v>
      </c>
      <c r="B220" s="256" t="s">
        <v>210</v>
      </c>
    </row>
    <row r="221" spans="1:21" x14ac:dyDescent="0.25">
      <c r="A221" s="208">
        <v>0.1</v>
      </c>
      <c r="B221" s="257"/>
    </row>
    <row r="222" spans="1:21" x14ac:dyDescent="0.25">
      <c r="A222" s="208">
        <v>0.5</v>
      </c>
      <c r="B222" s="257"/>
    </row>
    <row r="223" spans="1:21" x14ac:dyDescent="0.25">
      <c r="A223" s="208">
        <v>0.9</v>
      </c>
      <c r="B223" s="257"/>
    </row>
  </sheetData>
  <mergeCells count="1">
    <mergeCell ref="A219:B219"/>
  </mergeCells>
  <pageMargins left="0.7" right="0.7" top="0.75" bottom="0.75" header="0.3" footer="0.3"/>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zoomScale="80" zoomScaleNormal="80" zoomScalePageLayoutView="150" workbookViewId="0">
      <selection activeCell="F24" sqref="F24"/>
    </sheetView>
  </sheetViews>
  <sheetFormatPr defaultColWidth="8.85546875" defaultRowHeight="15" x14ac:dyDescent="0.25"/>
  <cols>
    <col min="1" max="1" width="4.140625" style="745" customWidth="1"/>
    <col min="2" max="2" width="5.140625" style="745" customWidth="1"/>
    <col min="3" max="3" width="4.140625" style="745" customWidth="1"/>
    <col min="4" max="4" width="4.42578125" style="745" customWidth="1"/>
    <col min="5" max="5" width="32.7109375" style="745" customWidth="1"/>
    <col min="6" max="6" width="28.28515625" style="745" bestFit="1" customWidth="1"/>
    <col min="7" max="7" width="12.7109375" style="745" bestFit="1" customWidth="1"/>
    <col min="8" max="8" width="12.42578125" style="745" bestFit="1" customWidth="1"/>
    <col min="9" max="9" width="17.85546875" style="745" bestFit="1" customWidth="1"/>
    <col min="10" max="10" width="21.7109375" style="745" bestFit="1" customWidth="1"/>
    <col min="11" max="11" width="16.7109375" style="745" bestFit="1" customWidth="1"/>
    <col min="12" max="12" width="13.28515625" style="745" customWidth="1"/>
    <col min="13" max="13" width="9.42578125" style="745" customWidth="1"/>
    <col min="14" max="14" width="12.28515625" style="745" customWidth="1"/>
    <col min="15" max="15" width="8.85546875" style="745"/>
    <col min="16" max="16" width="28.85546875" style="745" bestFit="1" customWidth="1"/>
    <col min="17" max="17" width="12.42578125" style="745" customWidth="1"/>
    <col min="18" max="18" width="8.28515625" style="745" customWidth="1"/>
    <col min="19" max="19" width="8.85546875" style="745"/>
    <col min="20" max="20" width="17.28515625" style="745" customWidth="1"/>
    <col min="21" max="22" width="8.85546875" style="745"/>
    <col min="23" max="23" width="11.7109375" style="745" customWidth="1"/>
    <col min="24" max="16384" width="8.85546875" style="745"/>
  </cols>
  <sheetData>
    <row r="1" spans="1:15" ht="14.45" x14ac:dyDescent="0.3">
      <c r="A1" s="595" t="s">
        <v>367</v>
      </c>
    </row>
    <row r="2" spans="1:15" thickBot="1" x14ac:dyDescent="0.35"/>
    <row r="3" spans="1:15" ht="42.95" customHeight="1" x14ac:dyDescent="0.3">
      <c r="A3" s="595" t="s">
        <v>109</v>
      </c>
      <c r="F3" s="407" t="s">
        <v>227</v>
      </c>
      <c r="G3" s="745">
        <v>1</v>
      </c>
      <c r="H3" s="745">
        <v>10</v>
      </c>
      <c r="I3" s="745">
        <v>50</v>
      </c>
      <c r="J3" s="745">
        <v>100</v>
      </c>
      <c r="K3" s="745" t="s">
        <v>114</v>
      </c>
      <c r="L3" s="745" t="s">
        <v>140</v>
      </c>
      <c r="N3" s="619" t="s">
        <v>478</v>
      </c>
      <c r="O3" s="461" t="s">
        <v>699</v>
      </c>
    </row>
    <row r="4" spans="1:15" ht="14.45" x14ac:dyDescent="0.3">
      <c r="A4" s="595"/>
      <c r="B4" s="1250" t="s">
        <v>32</v>
      </c>
      <c r="C4" s="1250"/>
      <c r="D4" s="192"/>
      <c r="E4" s="510" t="s">
        <v>584</v>
      </c>
      <c r="F4" s="355"/>
      <c r="G4" s="258">
        <f>SUM(K19:K38)</f>
        <v>1224163.2773048244</v>
      </c>
      <c r="H4" s="258">
        <f>$G4*H$3^(LOG10($K4)/LOG10(2))*H$3</f>
        <v>7134673.3379248921</v>
      </c>
      <c r="I4" s="258">
        <f>$G4*I$3^(LOG10($K4)/LOG10(2))*I$3</f>
        <v>24460195.207527436</v>
      </c>
      <c r="J4" s="258">
        <f>$G4*J$3^(LOG10($K4)/LOG10(2))*J$3</f>
        <v>41582331.852796644</v>
      </c>
      <c r="K4" s="259">
        <v>0.85</v>
      </c>
      <c r="L4" s="751">
        <f>SUM(I19:I38)</f>
        <v>45322.580346986069</v>
      </c>
      <c r="N4" s="620">
        <f>1-K4</f>
        <v>0.15000000000000002</v>
      </c>
      <c r="O4" s="92" t="s">
        <v>696</v>
      </c>
    </row>
    <row r="5" spans="1:15" ht="14.45" x14ac:dyDescent="0.3">
      <c r="B5" s="1250" t="s">
        <v>34</v>
      </c>
      <c r="C5" s="1250"/>
      <c r="D5" s="192"/>
      <c r="E5" s="510" t="s">
        <v>692</v>
      </c>
      <c r="F5" s="355">
        <f t="shared" ref="F5:F12" si="0">SUMIF($F$123:$F$144,"="&amp;E5,$H$123:$H$144)</f>
        <v>0</v>
      </c>
      <c r="G5" s="258">
        <f>SUM(K42:K49)</f>
        <v>231994.09015480007</v>
      </c>
      <c r="H5" s="258">
        <f t="shared" ref="H5:J12" si="1">$G5*H$3^(LOG10($K5)/LOG10(2))*H$3</f>
        <v>1352108.8896146</v>
      </c>
      <c r="I5" s="258">
        <f t="shared" si="1"/>
        <v>4635509.6884401245</v>
      </c>
      <c r="J5" s="258">
        <f>$G5*J$3^(LOG10($K5)/LOG10(2))*J$3</f>
        <v>7880366.4703482119</v>
      </c>
      <c r="K5" s="259">
        <v>0.85</v>
      </c>
      <c r="L5" s="752">
        <f>SUM(I42:I49)</f>
        <v>8174.9446098003637</v>
      </c>
      <c r="N5" s="620">
        <f t="shared" ref="N5:N12" si="2">1-K5</f>
        <v>0.15000000000000002</v>
      </c>
      <c r="O5" s="92" t="s">
        <v>696</v>
      </c>
    </row>
    <row r="6" spans="1:15" ht="14.45" x14ac:dyDescent="0.3">
      <c r="B6" s="479" t="s">
        <v>35</v>
      </c>
      <c r="C6" s="479"/>
      <c r="D6" s="479"/>
      <c r="E6" s="511" t="s">
        <v>674</v>
      </c>
      <c r="F6" s="355">
        <f t="shared" si="0"/>
        <v>0</v>
      </c>
      <c r="G6" s="258">
        <f>K53</f>
        <v>5616.0000000000009</v>
      </c>
      <c r="H6" s="258">
        <f t="shared" si="1"/>
        <v>47361.616587141041</v>
      </c>
      <c r="I6" s="258">
        <f t="shared" si="1"/>
        <v>210219.17882622519</v>
      </c>
      <c r="J6" s="258">
        <f t="shared" si="1"/>
        <v>399416.43976982782</v>
      </c>
      <c r="K6" s="259">
        <v>0.95</v>
      </c>
      <c r="L6" s="751">
        <f>I53</f>
        <v>2548.0943738656988</v>
      </c>
      <c r="N6" s="620">
        <f t="shared" si="2"/>
        <v>5.0000000000000044E-2</v>
      </c>
      <c r="O6" s="92" t="s">
        <v>697</v>
      </c>
    </row>
    <row r="7" spans="1:15" ht="14.45" x14ac:dyDescent="0.3">
      <c r="B7" s="479" t="s">
        <v>36</v>
      </c>
      <c r="C7" s="479"/>
      <c r="D7" s="479"/>
      <c r="E7" s="511" t="s">
        <v>680</v>
      </c>
      <c r="F7" s="355">
        <f t="shared" si="0"/>
        <v>0</v>
      </c>
      <c r="G7" s="258">
        <f>K54</f>
        <v>55017.73</v>
      </c>
      <c r="H7" s="355">
        <f t="shared" si="1"/>
        <v>320654.55533707142</v>
      </c>
      <c r="I7" s="355">
        <f t="shared" si="1"/>
        <v>1099317.7467616028</v>
      </c>
      <c r="J7" s="355">
        <f t="shared" si="1"/>
        <v>1868840.1694947246</v>
      </c>
      <c r="K7" s="259">
        <v>0.85</v>
      </c>
      <c r="L7" s="751">
        <f>I54</f>
        <v>1300.8166969147005</v>
      </c>
      <c r="N7" s="620">
        <f t="shared" si="2"/>
        <v>0.15000000000000002</v>
      </c>
      <c r="O7" s="92" t="s">
        <v>696</v>
      </c>
    </row>
    <row r="8" spans="1:15" ht="14.45" x14ac:dyDescent="0.3">
      <c r="B8" s="479" t="s">
        <v>39</v>
      </c>
      <c r="C8" s="479"/>
      <c r="D8" s="479"/>
      <c r="E8" s="511" t="s">
        <v>676</v>
      </c>
      <c r="F8" s="355">
        <f t="shared" si="0"/>
        <v>0</v>
      </c>
      <c r="G8" s="258">
        <f>SUM(K58:K59)</f>
        <v>32054.720000000001</v>
      </c>
      <c r="H8" s="355">
        <f t="shared" si="1"/>
        <v>277602.01831181312</v>
      </c>
      <c r="I8" s="355">
        <f t="shared" si="1"/>
        <v>1255244.7367305805</v>
      </c>
      <c r="J8" s="355">
        <f t="shared" si="1"/>
        <v>2404103.9999972624</v>
      </c>
      <c r="K8" s="259">
        <v>0.95762361300912902</v>
      </c>
      <c r="L8" s="751">
        <f>SUM(I58:I59)</f>
        <v>98.058076225045369</v>
      </c>
      <c r="N8" s="620">
        <f t="shared" si="2"/>
        <v>4.2376386990870984E-2</v>
      </c>
      <c r="O8" s="92" t="s">
        <v>698</v>
      </c>
    </row>
    <row r="9" spans="1:15" ht="14.45" x14ac:dyDescent="0.3">
      <c r="B9" s="479" t="s">
        <v>41</v>
      </c>
      <c r="C9" s="479"/>
      <c r="D9" s="479"/>
      <c r="E9" s="481" t="s">
        <v>688</v>
      </c>
      <c r="F9" s="355">
        <f t="shared" si="0"/>
        <v>0</v>
      </c>
      <c r="G9" s="258">
        <f>K61</f>
        <v>1400</v>
      </c>
      <c r="H9" s="355">
        <f t="shared" si="1"/>
        <v>11806.670801637722</v>
      </c>
      <c r="I9" s="355">
        <f t="shared" si="1"/>
        <v>52405.065946708557</v>
      </c>
      <c r="J9" s="355">
        <f t="shared" si="1"/>
        <v>99569.62529874625</v>
      </c>
      <c r="K9" s="259">
        <v>0.95</v>
      </c>
      <c r="L9" s="751">
        <f>I61</f>
        <v>77.132486388384748</v>
      </c>
      <c r="N9" s="620">
        <f>1-K9</f>
        <v>5.0000000000000044E-2</v>
      </c>
      <c r="O9" s="92" t="s">
        <v>697</v>
      </c>
    </row>
    <row r="10" spans="1:15" ht="14.45" x14ac:dyDescent="0.3">
      <c r="A10" s="21"/>
      <c r="B10" s="182" t="s">
        <v>43</v>
      </c>
      <c r="C10" s="182"/>
      <c r="D10" s="182"/>
      <c r="E10" s="481" t="s">
        <v>33</v>
      </c>
      <c r="F10" s="355">
        <f t="shared" si="0"/>
        <v>0</v>
      </c>
      <c r="G10" s="258">
        <f t="shared" ref="G10:G12" si="3">K62</f>
        <v>35000</v>
      </c>
      <c r="H10" s="355">
        <f t="shared" si="1"/>
        <v>308798.90206495952</v>
      </c>
      <c r="I10" s="355">
        <f t="shared" si="1"/>
        <v>1414578.8742994284</v>
      </c>
      <c r="J10" s="355">
        <f t="shared" si="1"/>
        <v>2724478.9119006987</v>
      </c>
      <c r="K10" s="259">
        <v>0.96299999999999997</v>
      </c>
      <c r="L10" s="751">
        <f>I62</f>
        <v>1127.4954627949182</v>
      </c>
      <c r="N10" s="620">
        <f t="shared" si="2"/>
        <v>3.7000000000000033E-2</v>
      </c>
      <c r="O10" s="92" t="s">
        <v>695</v>
      </c>
    </row>
    <row r="11" spans="1:15" ht="14.45" x14ac:dyDescent="0.3">
      <c r="B11" s="479" t="s">
        <v>45</v>
      </c>
      <c r="C11" s="479"/>
      <c r="D11" s="479"/>
      <c r="E11" s="481" t="s">
        <v>681</v>
      </c>
      <c r="F11" s="355">
        <f t="shared" si="0"/>
        <v>0</v>
      </c>
      <c r="G11" s="258">
        <f t="shared" si="3"/>
        <v>40000</v>
      </c>
      <c r="H11" s="355">
        <f t="shared" si="1"/>
        <v>189025.60767161063</v>
      </c>
      <c r="I11" s="355">
        <f t="shared" si="1"/>
        <v>559691.10832740704</v>
      </c>
      <c r="J11" s="355">
        <f t="shared" si="1"/>
        <v>893267.00889054174</v>
      </c>
      <c r="K11" s="259">
        <v>0.79800000000000004</v>
      </c>
      <c r="L11" s="751">
        <f>I63</f>
        <v>952.81306715063511</v>
      </c>
      <c r="N11" s="620">
        <f t="shared" si="2"/>
        <v>0.20199999999999996</v>
      </c>
      <c r="O11" s="92" t="s">
        <v>693</v>
      </c>
    </row>
    <row r="12" spans="1:15" ht="14.25" customHeight="1" x14ac:dyDescent="0.3">
      <c r="B12" s="479" t="s">
        <v>60</v>
      </c>
      <c r="C12" s="479"/>
      <c r="D12" s="479"/>
      <c r="E12" s="481" t="s">
        <v>689</v>
      </c>
      <c r="F12" s="355">
        <f t="shared" si="0"/>
        <v>0</v>
      </c>
      <c r="G12" s="258">
        <f t="shared" si="3"/>
        <v>12000</v>
      </c>
      <c r="H12" s="355">
        <f>$G12*H$3^(LOG10($K12)/LOG10(2))*H$3</f>
        <v>107341.84133204038</v>
      </c>
      <c r="I12" s="355">
        <f t="shared" si="1"/>
        <v>496478.40833130537</v>
      </c>
      <c r="J12" s="355">
        <f>$G12*J$3^(LOG10($K12)/LOG10(2))*J$3</f>
        <v>960189.24171274446</v>
      </c>
      <c r="K12" s="259">
        <v>0.96699999999999997</v>
      </c>
      <c r="L12" s="751">
        <f>I64</f>
        <v>0</v>
      </c>
      <c r="N12" s="620">
        <f t="shared" si="2"/>
        <v>3.3000000000000029E-2</v>
      </c>
      <c r="O12" s="92" t="s">
        <v>694</v>
      </c>
    </row>
    <row r="13" spans="1:15" ht="14.45" x14ac:dyDescent="0.3">
      <c r="B13" s="479"/>
      <c r="C13" s="479"/>
      <c r="D13" s="479"/>
      <c r="E13" s="479"/>
      <c r="F13" s="194"/>
      <c r="G13" s="194"/>
      <c r="H13" s="194"/>
      <c r="I13" s="194"/>
      <c r="J13" s="194"/>
      <c r="K13" s="481"/>
      <c r="N13" s="620"/>
    </row>
    <row r="14" spans="1:15" ht="14.45" x14ac:dyDescent="0.3">
      <c r="B14" s="479"/>
      <c r="C14" s="479"/>
      <c r="D14" s="479"/>
      <c r="E14" s="834" t="s">
        <v>79</v>
      </c>
      <c r="F14" s="194"/>
      <c r="G14" s="194">
        <f>SUM(G4:G12)</f>
        <v>1637245.8174596245</v>
      </c>
      <c r="H14" s="194">
        <f>SUM(H4:H12)</f>
        <v>9749373.4396457672</v>
      </c>
      <c r="I14" s="194">
        <f>SUM(I4:I12)</f>
        <v>34183640.015190817</v>
      </c>
      <c r="J14" s="194">
        <f>SUM(J4:J12)</f>
        <v>58812563.720209397</v>
      </c>
      <c r="K14" s="288"/>
      <c r="L14" s="277">
        <f>SUM(L4:L12)</f>
        <v>59601.935120125818</v>
      </c>
      <c r="N14" s="620"/>
    </row>
    <row r="15" spans="1:15" thickBot="1" x14ac:dyDescent="0.35">
      <c r="B15" s="71"/>
      <c r="C15" s="71"/>
      <c r="D15" s="71"/>
      <c r="E15" s="72" t="s">
        <v>115</v>
      </c>
      <c r="F15" s="195">
        <f>SUM(F4:F12)</f>
        <v>0</v>
      </c>
      <c r="G15" s="195">
        <f>G14/G3</f>
        <v>1637245.8174596245</v>
      </c>
      <c r="H15" s="195">
        <f>H14/H3</f>
        <v>974937.34396457672</v>
      </c>
      <c r="I15" s="195">
        <f>I14/I3</f>
        <v>683672.80030381633</v>
      </c>
      <c r="J15" s="195">
        <f>J14/J3</f>
        <v>588125.63720209396</v>
      </c>
      <c r="K15" s="479"/>
      <c r="N15" s="621"/>
    </row>
    <row r="16" spans="1:15" ht="14.45" x14ac:dyDescent="0.3">
      <c r="B16" s="479"/>
      <c r="C16" s="479"/>
      <c r="D16" s="479"/>
      <c r="E16" s="834"/>
      <c r="F16" s="194"/>
      <c r="G16" s="194"/>
      <c r="H16" s="194"/>
      <c r="I16" s="194"/>
      <c r="J16" s="194"/>
      <c r="K16" s="479"/>
      <c r="N16" s="481"/>
    </row>
    <row r="17" spans="2:14" ht="14.45" x14ac:dyDescent="0.3">
      <c r="B17" s="29" t="s">
        <v>32</v>
      </c>
      <c r="C17" s="29" t="s">
        <v>584</v>
      </c>
      <c r="D17" s="29"/>
      <c r="E17" s="834"/>
      <c r="F17" s="194"/>
      <c r="G17" s="194"/>
      <c r="H17" s="194"/>
      <c r="I17" s="194"/>
      <c r="J17" s="194"/>
      <c r="K17" s="479"/>
      <c r="N17" s="481"/>
    </row>
    <row r="18" spans="2:14" ht="14.45" x14ac:dyDescent="0.3">
      <c r="B18" s="29"/>
      <c r="C18" s="29"/>
      <c r="D18" s="29"/>
      <c r="E18" s="834" t="s">
        <v>534</v>
      </c>
      <c r="F18" s="194" t="s">
        <v>583</v>
      </c>
      <c r="G18" s="194" t="s">
        <v>578</v>
      </c>
      <c r="H18" s="194" t="s">
        <v>581</v>
      </c>
      <c r="I18" s="194" t="s">
        <v>580</v>
      </c>
      <c r="J18" s="194" t="s">
        <v>582</v>
      </c>
      <c r="K18" s="479" t="s">
        <v>579</v>
      </c>
      <c r="L18" s="355" t="s">
        <v>753</v>
      </c>
      <c r="N18" s="481"/>
    </row>
    <row r="19" spans="2:14" ht="14.45" x14ac:dyDescent="0.3">
      <c r="C19" s="479" t="s">
        <v>588</v>
      </c>
      <c r="D19" s="479"/>
      <c r="E19" s="834" t="s">
        <v>557</v>
      </c>
      <c r="F19" s="194" t="s">
        <v>585</v>
      </c>
      <c r="G19" s="738">
        <v>256.77551968859171</v>
      </c>
      <c r="H19" s="738">
        <v>13</v>
      </c>
      <c r="I19" s="738">
        <v>3338.0817559516922</v>
      </c>
      <c r="J19" s="587">
        <v>30.856000000000002</v>
      </c>
      <c r="K19" s="680">
        <v>102999.85066164543</v>
      </c>
      <c r="L19" s="63">
        <f>K19/H19</f>
        <v>7923.0654355111865</v>
      </c>
      <c r="N19" s="481"/>
    </row>
    <row r="20" spans="2:14" ht="14.45" x14ac:dyDescent="0.3">
      <c r="C20" s="479" t="s">
        <v>589</v>
      </c>
      <c r="D20" s="479"/>
      <c r="E20" s="834" t="s">
        <v>559</v>
      </c>
      <c r="F20" s="194" t="s">
        <v>585</v>
      </c>
      <c r="G20" s="738">
        <v>10823.366894122933</v>
      </c>
      <c r="H20" s="738">
        <v>1</v>
      </c>
      <c r="I20" s="738">
        <v>10823.366894122933</v>
      </c>
      <c r="J20" s="587">
        <v>30.856000000000002</v>
      </c>
      <c r="K20" s="680">
        <v>333965.80888505722</v>
      </c>
      <c r="L20" s="63">
        <f t="shared" ref="L20:L38" si="4">K20/H20</f>
        <v>333965.80888505722</v>
      </c>
      <c r="N20" s="481"/>
    </row>
    <row r="21" spans="2:14" ht="14.45" x14ac:dyDescent="0.3">
      <c r="C21" s="479" t="s">
        <v>590</v>
      </c>
      <c r="D21" s="479"/>
      <c r="E21" s="834" t="s">
        <v>560</v>
      </c>
      <c r="F21" s="194" t="s">
        <v>585</v>
      </c>
      <c r="G21" s="738">
        <v>1919.9065804529259</v>
      </c>
      <c r="H21" s="738">
        <v>2</v>
      </c>
      <c r="I21" s="738">
        <v>3839.8131609058519</v>
      </c>
      <c r="J21" s="587">
        <v>18.9544</v>
      </c>
      <c r="K21" s="680">
        <v>72781.354577073871</v>
      </c>
      <c r="L21" s="63">
        <f t="shared" si="4"/>
        <v>36390.677288536936</v>
      </c>
      <c r="N21" s="481"/>
    </row>
    <row r="22" spans="2:14" ht="14.45" x14ac:dyDescent="0.3">
      <c r="C22" s="479" t="s">
        <v>591</v>
      </c>
      <c r="D22" s="479"/>
      <c r="E22" s="834" t="s">
        <v>562</v>
      </c>
      <c r="F22" s="194" t="s">
        <v>585</v>
      </c>
      <c r="G22" s="738">
        <v>2129.3388425499643</v>
      </c>
      <c r="H22" s="738">
        <v>2</v>
      </c>
      <c r="I22" s="738">
        <v>4258.6776850999286</v>
      </c>
      <c r="J22" s="587">
        <v>18.9544</v>
      </c>
      <c r="K22" s="680">
        <v>80720.680314458092</v>
      </c>
      <c r="L22" s="63">
        <f t="shared" si="4"/>
        <v>40360.340157229046</v>
      </c>
      <c r="N22" s="481"/>
    </row>
    <row r="23" spans="2:14" ht="14.45" x14ac:dyDescent="0.3">
      <c r="C23" s="479" t="s">
        <v>592</v>
      </c>
      <c r="D23" s="479"/>
      <c r="E23" s="834" t="s">
        <v>563</v>
      </c>
      <c r="F23" s="194" t="s">
        <v>585</v>
      </c>
      <c r="G23" s="738">
        <v>260.98216172653406</v>
      </c>
      <c r="H23" s="738">
        <v>2</v>
      </c>
      <c r="I23" s="738">
        <v>521.96432345306812</v>
      </c>
      <c r="J23" s="587">
        <v>18.9544</v>
      </c>
      <c r="K23" s="680">
        <v>9893.5205724588341</v>
      </c>
      <c r="L23" s="63">
        <f t="shared" si="4"/>
        <v>4946.760286229417</v>
      </c>
      <c r="N23" s="481"/>
    </row>
    <row r="24" spans="2:14" ht="14.45" x14ac:dyDescent="0.3">
      <c r="C24" s="479" t="s">
        <v>593</v>
      </c>
      <c r="D24" s="479"/>
      <c r="E24" s="834" t="s">
        <v>527</v>
      </c>
      <c r="F24" s="194" t="s">
        <v>585</v>
      </c>
      <c r="G24" s="738">
        <v>1618.0291196161279</v>
      </c>
      <c r="H24" s="738">
        <v>2</v>
      </c>
      <c r="I24" s="738">
        <v>3236.0582392322558</v>
      </c>
      <c r="J24" s="587">
        <v>18.9544</v>
      </c>
      <c r="K24" s="680">
        <v>61337.542289703866</v>
      </c>
      <c r="L24" s="63">
        <f t="shared" si="4"/>
        <v>30668.771144851933</v>
      </c>
      <c r="N24" s="481"/>
    </row>
    <row r="25" spans="2:14" ht="14.45" x14ac:dyDescent="0.3">
      <c r="C25" s="479" t="s">
        <v>594</v>
      </c>
      <c r="D25" s="479"/>
      <c r="E25" s="834" t="s">
        <v>564</v>
      </c>
      <c r="F25" s="194" t="s">
        <v>585</v>
      </c>
      <c r="G25" s="738">
        <v>2437.3689792196005</v>
      </c>
      <c r="H25" s="738">
        <v>1</v>
      </c>
      <c r="I25" s="738">
        <v>2437.3689792196005</v>
      </c>
      <c r="J25" s="587">
        <v>18.9544</v>
      </c>
      <c r="K25" s="680">
        <v>46198.866579719994</v>
      </c>
      <c r="L25" s="63">
        <f t="shared" si="4"/>
        <v>46198.866579719994</v>
      </c>
      <c r="N25" s="481"/>
    </row>
    <row r="26" spans="2:14" ht="14.45" x14ac:dyDescent="0.3">
      <c r="C26" s="479" t="s">
        <v>595</v>
      </c>
      <c r="D26" s="479"/>
      <c r="E26" s="834" t="s">
        <v>565</v>
      </c>
      <c r="F26" s="194" t="s">
        <v>585</v>
      </c>
      <c r="G26" s="738">
        <v>520.74735513611608</v>
      </c>
      <c r="H26" s="738">
        <v>1</v>
      </c>
      <c r="I26" s="738">
        <v>520.74735513611608</v>
      </c>
      <c r="J26" s="587">
        <v>18.9544</v>
      </c>
      <c r="K26" s="680">
        <v>9870.4536681919981</v>
      </c>
      <c r="L26" s="63">
        <f t="shared" si="4"/>
        <v>9870.4536681919981</v>
      </c>
      <c r="N26" s="481"/>
    </row>
    <row r="27" spans="2:14" ht="14.45" x14ac:dyDescent="0.3">
      <c r="C27" s="479" t="s">
        <v>596</v>
      </c>
      <c r="D27" s="479"/>
      <c r="E27" s="834" t="s">
        <v>566</v>
      </c>
      <c r="F27" s="194" t="s">
        <v>585</v>
      </c>
      <c r="G27" s="738">
        <v>7322.4051149858151</v>
      </c>
      <c r="H27" s="738">
        <v>1</v>
      </c>
      <c r="I27" s="738">
        <v>7322.4051149858151</v>
      </c>
      <c r="J27" s="587">
        <v>18.9544</v>
      </c>
      <c r="K27" s="680">
        <v>138791.79551148714</v>
      </c>
      <c r="L27" s="63">
        <f t="shared" si="4"/>
        <v>138791.79551148714</v>
      </c>
      <c r="N27" s="481"/>
    </row>
    <row r="28" spans="2:14" ht="14.45" x14ac:dyDescent="0.3">
      <c r="C28" s="479" t="s">
        <v>597</v>
      </c>
      <c r="D28" s="479"/>
      <c r="E28" s="834" t="s">
        <v>528</v>
      </c>
      <c r="F28" s="194" t="s">
        <v>585</v>
      </c>
      <c r="G28" s="738">
        <v>137.02278983214291</v>
      </c>
      <c r="H28" s="738">
        <v>1</v>
      </c>
      <c r="I28" s="738">
        <v>137.02278983214291</v>
      </c>
      <c r="J28" s="587">
        <v>59.508000000000003</v>
      </c>
      <c r="K28" s="680">
        <v>8153.9521773311608</v>
      </c>
      <c r="L28" s="63">
        <f t="shared" si="4"/>
        <v>8153.9521773311608</v>
      </c>
      <c r="N28" s="481"/>
    </row>
    <row r="29" spans="2:14" ht="14.45" x14ac:dyDescent="0.3">
      <c r="C29" s="479" t="s">
        <v>598</v>
      </c>
      <c r="D29" s="479"/>
      <c r="E29" s="834" t="s">
        <v>529</v>
      </c>
      <c r="F29" s="194" t="s">
        <v>585</v>
      </c>
      <c r="G29" s="738">
        <v>66.642571703806155</v>
      </c>
      <c r="H29" s="738">
        <v>1</v>
      </c>
      <c r="I29" s="738">
        <v>66.642571703806155</v>
      </c>
      <c r="J29" s="587">
        <v>59.508000000000003</v>
      </c>
      <c r="K29" s="680">
        <v>3965.766156950097</v>
      </c>
      <c r="L29" s="63">
        <f t="shared" si="4"/>
        <v>3965.766156950097</v>
      </c>
      <c r="N29" s="481"/>
    </row>
    <row r="30" spans="2:14" ht="14.45" x14ac:dyDescent="0.3">
      <c r="C30" s="479" t="s">
        <v>599</v>
      </c>
      <c r="D30" s="479"/>
      <c r="E30" s="834" t="s">
        <v>530</v>
      </c>
      <c r="F30" s="194" t="s">
        <v>585</v>
      </c>
      <c r="G30" s="738">
        <v>206.34805754800931</v>
      </c>
      <c r="H30" s="738">
        <v>1</v>
      </c>
      <c r="I30" s="738">
        <v>206.34805754800931</v>
      </c>
      <c r="J30" s="587">
        <v>59.508000000000003</v>
      </c>
      <c r="K30" s="680">
        <v>12279.360208566939</v>
      </c>
      <c r="L30" s="63">
        <f t="shared" si="4"/>
        <v>12279.360208566939</v>
      </c>
      <c r="N30" s="481"/>
    </row>
    <row r="31" spans="2:14" ht="14.45" x14ac:dyDescent="0.3">
      <c r="C31" s="479" t="s">
        <v>600</v>
      </c>
      <c r="D31" s="479"/>
      <c r="E31" s="834" t="s">
        <v>531</v>
      </c>
      <c r="F31" s="194" t="s">
        <v>585</v>
      </c>
      <c r="G31" s="738">
        <v>66.642571703806155</v>
      </c>
      <c r="H31" s="738">
        <v>1</v>
      </c>
      <c r="I31" s="738">
        <v>66.642571703806155</v>
      </c>
      <c r="J31" s="587">
        <v>59.508000000000003</v>
      </c>
      <c r="K31" s="680">
        <v>3965.766156950097</v>
      </c>
      <c r="L31" s="63">
        <f t="shared" si="4"/>
        <v>3965.766156950097</v>
      </c>
      <c r="N31" s="481"/>
    </row>
    <row r="32" spans="2:14" ht="14.45" x14ac:dyDescent="0.3">
      <c r="C32" s="479" t="s">
        <v>601</v>
      </c>
      <c r="D32" s="479"/>
      <c r="E32" s="834" t="s">
        <v>567</v>
      </c>
      <c r="F32" s="194" t="s">
        <v>585</v>
      </c>
      <c r="G32" s="738">
        <v>298.81594509981846</v>
      </c>
      <c r="H32" s="738">
        <v>2</v>
      </c>
      <c r="I32" s="738">
        <v>597.63189019963693</v>
      </c>
      <c r="J32" s="587">
        <v>59.508000000000003</v>
      </c>
      <c r="K32" s="680">
        <v>35563.878521999999</v>
      </c>
      <c r="L32" s="63">
        <f t="shared" si="4"/>
        <v>17781.939261</v>
      </c>
      <c r="N32" s="481"/>
    </row>
    <row r="33" spans="2:14" ht="14.45" x14ac:dyDescent="0.3">
      <c r="C33" s="479" t="s">
        <v>602</v>
      </c>
      <c r="D33" s="479"/>
      <c r="E33" s="834" t="s">
        <v>569</v>
      </c>
      <c r="F33" s="194" t="s">
        <v>585</v>
      </c>
      <c r="G33" s="738">
        <v>297.07477689214835</v>
      </c>
      <c r="H33" s="738">
        <v>2</v>
      </c>
      <c r="I33" s="738">
        <v>594.1495537842967</v>
      </c>
      <c r="J33" s="587">
        <v>59.508000000000003</v>
      </c>
      <c r="K33" s="680">
        <v>35356.651646595928</v>
      </c>
      <c r="L33" s="63">
        <f t="shared" si="4"/>
        <v>17678.325823297964</v>
      </c>
      <c r="N33" s="481"/>
    </row>
    <row r="34" spans="2:14" ht="14.45" x14ac:dyDescent="0.3">
      <c r="C34" s="479" t="s">
        <v>603</v>
      </c>
      <c r="D34" s="479"/>
      <c r="E34" s="834" t="s">
        <v>532</v>
      </c>
      <c r="F34" s="194" t="s">
        <v>585</v>
      </c>
      <c r="G34" s="738">
        <v>1143.4831215970962</v>
      </c>
      <c r="H34" s="738">
        <v>2</v>
      </c>
      <c r="I34" s="738">
        <v>2286.9662431941924</v>
      </c>
      <c r="J34" s="587">
        <v>35.264000000000003</v>
      </c>
      <c r="K34" s="680">
        <v>80647.577600000004</v>
      </c>
      <c r="L34" s="63">
        <f t="shared" si="4"/>
        <v>40323.788800000002</v>
      </c>
      <c r="N34" s="481"/>
    </row>
    <row r="35" spans="2:14" ht="14.45" x14ac:dyDescent="0.3">
      <c r="C35" s="479" t="s">
        <v>604</v>
      </c>
      <c r="D35" s="479"/>
      <c r="E35" s="834" t="s">
        <v>570</v>
      </c>
      <c r="F35" s="194" t="s">
        <v>585</v>
      </c>
      <c r="G35" s="738">
        <v>3593.1685415548741</v>
      </c>
      <c r="H35" s="738">
        <v>1</v>
      </c>
      <c r="I35" s="738">
        <v>3593.1685415548741</v>
      </c>
      <c r="J35" s="587">
        <v>35.264000000000003</v>
      </c>
      <c r="K35" s="680">
        <v>126709.49544939109</v>
      </c>
      <c r="L35" s="63">
        <f t="shared" si="4"/>
        <v>126709.49544939109</v>
      </c>
      <c r="N35" s="481"/>
    </row>
    <row r="36" spans="2:14" ht="14.45" x14ac:dyDescent="0.3">
      <c r="C36" s="479" t="s">
        <v>605</v>
      </c>
      <c r="D36" s="479"/>
      <c r="E36" s="834" t="s">
        <v>571</v>
      </c>
      <c r="F36" s="194" t="s">
        <v>585</v>
      </c>
      <c r="G36" s="738">
        <v>256.852212416123</v>
      </c>
      <c r="H36" s="738">
        <v>1</v>
      </c>
      <c r="I36" s="738">
        <v>256.852212416123</v>
      </c>
      <c r="J36" s="587">
        <v>35.264000000000003</v>
      </c>
      <c r="K36" s="680">
        <v>9057.6364186421615</v>
      </c>
      <c r="L36" s="63">
        <f t="shared" si="4"/>
        <v>9057.6364186421615</v>
      </c>
      <c r="N36" s="481"/>
    </row>
    <row r="37" spans="2:14" ht="14.45" x14ac:dyDescent="0.3">
      <c r="C37" s="479" t="s">
        <v>606</v>
      </c>
      <c r="D37" s="479"/>
      <c r="E37" s="834" t="s">
        <v>572</v>
      </c>
      <c r="F37" s="194" t="s">
        <v>585</v>
      </c>
      <c r="G37" s="738">
        <v>359.79055011343013</v>
      </c>
      <c r="H37" s="738">
        <v>2</v>
      </c>
      <c r="I37" s="738">
        <v>719.58110022686026</v>
      </c>
      <c r="J37" s="587">
        <v>30.856000000000002</v>
      </c>
      <c r="K37" s="680">
        <v>22203.394428600001</v>
      </c>
      <c r="L37" s="63">
        <f t="shared" si="4"/>
        <v>11101.6972143</v>
      </c>
      <c r="N37" s="481"/>
    </row>
    <row r="38" spans="2:14" ht="14.45" x14ac:dyDescent="0.3">
      <c r="C38" s="479" t="s">
        <v>607</v>
      </c>
      <c r="D38" s="479"/>
      <c r="E38" s="834" t="s">
        <v>574</v>
      </c>
      <c r="F38" s="194" t="s">
        <v>585</v>
      </c>
      <c r="G38" s="738">
        <v>499.09130671506352</v>
      </c>
      <c r="H38" s="738">
        <v>1</v>
      </c>
      <c r="I38" s="738">
        <v>499.09130671506352</v>
      </c>
      <c r="J38" s="587">
        <v>59.508000000000003</v>
      </c>
      <c r="K38" s="680">
        <v>29699.925480000002</v>
      </c>
      <c r="L38" s="63">
        <f t="shared" si="4"/>
        <v>29699.925480000002</v>
      </c>
      <c r="N38" s="481"/>
    </row>
    <row r="39" spans="2:14" ht="14.45" x14ac:dyDescent="0.3">
      <c r="C39" s="479"/>
      <c r="D39" s="479"/>
      <c r="E39" s="834"/>
      <c r="F39" s="194"/>
      <c r="G39" s="738"/>
      <c r="H39" s="738"/>
      <c r="I39" s="738"/>
      <c r="J39" s="587"/>
      <c r="K39" s="680"/>
      <c r="N39" s="481"/>
    </row>
    <row r="40" spans="2:14" ht="14.45" x14ac:dyDescent="0.3">
      <c r="B40" s="29" t="s">
        <v>34</v>
      </c>
      <c r="C40" s="461" t="s">
        <v>608</v>
      </c>
      <c r="D40" s="479"/>
      <c r="E40" s="834"/>
      <c r="F40" s="194"/>
      <c r="G40" s="738"/>
      <c r="H40" s="738"/>
      <c r="I40" s="738"/>
      <c r="J40" s="194"/>
      <c r="K40" s="479"/>
      <c r="N40" s="481"/>
    </row>
    <row r="41" spans="2:14" ht="14.45" x14ac:dyDescent="0.3">
      <c r="B41" s="479"/>
      <c r="C41" s="479"/>
      <c r="D41" s="479"/>
      <c r="E41" s="834" t="s">
        <v>534</v>
      </c>
      <c r="F41" s="194" t="s">
        <v>583</v>
      </c>
      <c r="G41" s="194" t="s">
        <v>578</v>
      </c>
      <c r="H41" s="194" t="s">
        <v>581</v>
      </c>
      <c r="I41" s="194" t="s">
        <v>580</v>
      </c>
      <c r="J41" s="194" t="s">
        <v>582</v>
      </c>
      <c r="K41" s="479" t="s">
        <v>579</v>
      </c>
      <c r="L41" s="355" t="s">
        <v>753</v>
      </c>
      <c r="N41" s="481"/>
    </row>
    <row r="42" spans="2:14" ht="14.45" x14ac:dyDescent="0.3">
      <c r="B42" s="479"/>
      <c r="C42" s="481" t="s">
        <v>639</v>
      </c>
      <c r="E42" s="422" t="s">
        <v>623</v>
      </c>
      <c r="F42" s="727" t="s">
        <v>638</v>
      </c>
      <c r="G42" s="738">
        <v>205.52618058076226</v>
      </c>
      <c r="H42" s="738">
        <v>12</v>
      </c>
      <c r="I42" s="738">
        <v>2466.3141669691472</v>
      </c>
      <c r="J42" s="587">
        <v>42.294760000000004</v>
      </c>
      <c r="K42" s="587">
        <v>104312.16577656002</v>
      </c>
      <c r="L42" s="63">
        <f t="shared" ref="L42:L49" si="5">K42/H42</f>
        <v>8692.6804813800027</v>
      </c>
      <c r="N42" s="481"/>
    </row>
    <row r="43" spans="2:14" ht="14.45" x14ac:dyDescent="0.3">
      <c r="B43" s="479"/>
      <c r="C43" s="481" t="s">
        <v>640</v>
      </c>
      <c r="E43" s="422" t="s">
        <v>626</v>
      </c>
      <c r="F43" s="727" t="s">
        <v>638</v>
      </c>
      <c r="G43" s="738">
        <v>91.344969147005429</v>
      </c>
      <c r="H43" s="738">
        <v>8</v>
      </c>
      <c r="I43" s="738">
        <v>730.75975317604343</v>
      </c>
      <c r="J43" s="587">
        <v>42.294760000000004</v>
      </c>
      <c r="K43" s="587">
        <v>30907.308378239999</v>
      </c>
      <c r="L43" s="63">
        <f t="shared" si="5"/>
        <v>3863.4135472799999</v>
      </c>
      <c r="N43" s="481"/>
    </row>
    <row r="44" spans="2:14" ht="14.45" x14ac:dyDescent="0.3">
      <c r="B44" s="479"/>
      <c r="C44" s="481" t="s">
        <v>641</v>
      </c>
      <c r="E44" s="732" t="s">
        <v>628</v>
      </c>
      <c r="F44" s="727" t="s">
        <v>638</v>
      </c>
      <c r="G44" s="738">
        <v>45.372050816696913</v>
      </c>
      <c r="H44" s="738">
        <v>2</v>
      </c>
      <c r="I44" s="738">
        <v>90.744101633393825</v>
      </c>
      <c r="J44" s="587">
        <v>30.856000000000002</v>
      </c>
      <c r="K44" s="587">
        <v>2800</v>
      </c>
      <c r="L44" s="63">
        <f t="shared" si="5"/>
        <v>1400</v>
      </c>
      <c r="N44" s="481"/>
    </row>
    <row r="45" spans="2:14" ht="14.45" x14ac:dyDescent="0.3">
      <c r="B45" s="479"/>
      <c r="C45" s="481" t="s">
        <v>642</v>
      </c>
      <c r="E45" s="732" t="s">
        <v>630</v>
      </c>
      <c r="F45" s="727" t="s">
        <v>638</v>
      </c>
      <c r="G45" s="738">
        <v>49.183303085299457</v>
      </c>
      <c r="H45" s="738">
        <v>12</v>
      </c>
      <c r="I45" s="738">
        <v>590.19963702359348</v>
      </c>
      <c r="J45" s="587">
        <v>30.856000000000002</v>
      </c>
      <c r="K45" s="587">
        <v>18211.2</v>
      </c>
      <c r="L45" s="63">
        <f t="shared" si="5"/>
        <v>1517.6000000000001</v>
      </c>
      <c r="N45" s="481"/>
    </row>
    <row r="46" spans="2:14" ht="14.45" x14ac:dyDescent="0.3">
      <c r="B46" s="479"/>
      <c r="C46" s="481" t="s">
        <v>643</v>
      </c>
      <c r="E46" s="732" t="s">
        <v>631</v>
      </c>
      <c r="F46" s="727" t="s">
        <v>638</v>
      </c>
      <c r="G46" s="738">
        <v>1338.4754990925589</v>
      </c>
      <c r="H46" s="738">
        <v>3</v>
      </c>
      <c r="I46" s="738">
        <v>4015.4264972776768</v>
      </c>
      <c r="J46" s="587">
        <v>17.632000000000001</v>
      </c>
      <c r="K46" s="587">
        <v>70800</v>
      </c>
      <c r="L46" s="63">
        <f t="shared" si="5"/>
        <v>23600</v>
      </c>
      <c r="N46" s="481"/>
    </row>
    <row r="47" spans="2:14" ht="14.45" x14ac:dyDescent="0.3">
      <c r="B47" s="479"/>
      <c r="C47" s="481" t="s">
        <v>644</v>
      </c>
      <c r="E47" s="727" t="s">
        <v>633</v>
      </c>
      <c r="F47" s="727" t="s">
        <v>638</v>
      </c>
      <c r="G47" s="738">
        <v>19.28085299455535</v>
      </c>
      <c r="H47" s="738">
        <v>2</v>
      </c>
      <c r="I47" s="738">
        <v>38.561705989110699</v>
      </c>
      <c r="J47" s="587">
        <v>17.632000000000001</v>
      </c>
      <c r="K47" s="587">
        <v>679.91999999999985</v>
      </c>
      <c r="L47" s="63">
        <f t="shared" si="5"/>
        <v>339.95999999999992</v>
      </c>
      <c r="N47" s="481"/>
    </row>
    <row r="48" spans="2:14" ht="14.45" x14ac:dyDescent="0.3">
      <c r="B48" s="479"/>
      <c r="C48" s="481" t="s">
        <v>645</v>
      </c>
      <c r="E48" s="422" t="s">
        <v>634</v>
      </c>
      <c r="F48" s="727" t="s">
        <v>638</v>
      </c>
      <c r="G48" s="738">
        <v>69.411070780399271</v>
      </c>
      <c r="H48" s="738">
        <v>2</v>
      </c>
      <c r="I48" s="738">
        <v>138.82214156079854</v>
      </c>
      <c r="J48" s="587">
        <v>17.632000000000001</v>
      </c>
      <c r="K48" s="587">
        <v>2447.712</v>
      </c>
      <c r="L48" s="63">
        <f t="shared" si="5"/>
        <v>1223.856</v>
      </c>
      <c r="N48" s="481"/>
    </row>
    <row r="49" spans="2:16" ht="14.45" x14ac:dyDescent="0.3">
      <c r="B49" s="479"/>
      <c r="C49" s="481" t="s">
        <v>646</v>
      </c>
      <c r="E49" s="422" t="s">
        <v>635</v>
      </c>
      <c r="F49" s="727" t="s">
        <v>638</v>
      </c>
      <c r="G49" s="738">
        <v>52.05830308529945</v>
      </c>
      <c r="H49" s="738">
        <v>2</v>
      </c>
      <c r="I49" s="738">
        <v>104.1166061705989</v>
      </c>
      <c r="J49" s="587">
        <v>17.632000000000001</v>
      </c>
      <c r="K49" s="587">
        <v>1835.7839999999999</v>
      </c>
      <c r="L49" s="63">
        <f t="shared" si="5"/>
        <v>917.89199999999994</v>
      </c>
      <c r="N49" s="481"/>
    </row>
    <row r="50" spans="2:16" ht="14.45" x14ac:dyDescent="0.3">
      <c r="B50" s="479"/>
      <c r="C50" s="481"/>
      <c r="E50" s="422"/>
      <c r="F50" s="727"/>
      <c r="G50" s="738"/>
      <c r="H50" s="738"/>
      <c r="I50" s="738"/>
      <c r="J50" s="587"/>
      <c r="K50" s="587"/>
      <c r="N50" s="481"/>
    </row>
    <row r="51" spans="2:16" ht="14.45" x14ac:dyDescent="0.3">
      <c r="B51" s="29" t="s">
        <v>682</v>
      </c>
      <c r="E51" s="834"/>
      <c r="F51" s="194"/>
      <c r="G51" s="194"/>
      <c r="H51" s="194"/>
      <c r="I51" s="194"/>
      <c r="J51" s="194"/>
      <c r="K51" s="479"/>
      <c r="N51" s="481"/>
    </row>
    <row r="52" spans="2:16" ht="14.45" x14ac:dyDescent="0.3">
      <c r="B52" s="479"/>
      <c r="E52" s="834" t="s">
        <v>534</v>
      </c>
      <c r="F52" s="194" t="s">
        <v>583</v>
      </c>
      <c r="G52" s="194" t="s">
        <v>578</v>
      </c>
      <c r="H52" s="194" t="s">
        <v>581</v>
      </c>
      <c r="I52" s="194" t="s">
        <v>580</v>
      </c>
      <c r="J52" s="194" t="s">
        <v>582</v>
      </c>
      <c r="K52" s="479" t="s">
        <v>579</v>
      </c>
      <c r="L52" s="355" t="s">
        <v>753</v>
      </c>
      <c r="N52" s="481"/>
    </row>
    <row r="53" spans="2:16" ht="14.45" x14ac:dyDescent="0.3">
      <c r="B53" s="479" t="s">
        <v>35</v>
      </c>
      <c r="C53" s="479" t="s">
        <v>684</v>
      </c>
      <c r="D53" s="479"/>
      <c r="E53" s="834"/>
      <c r="F53" s="194" t="s">
        <v>674</v>
      </c>
      <c r="G53" s="269">
        <v>17.695099818511796</v>
      </c>
      <c r="H53" s="269">
        <v>144</v>
      </c>
      <c r="I53" s="481">
        <v>2548.0943738656988</v>
      </c>
      <c r="J53" s="587">
        <v>2.2040000000000002</v>
      </c>
      <c r="K53" s="587">
        <v>5616.0000000000009</v>
      </c>
      <c r="L53" s="63">
        <f t="shared" ref="L53:L54" si="6">K53/H53</f>
        <v>39.000000000000007</v>
      </c>
      <c r="N53" s="481"/>
    </row>
    <row r="54" spans="2:16" ht="14.45" x14ac:dyDescent="0.3">
      <c r="B54" s="479" t="s">
        <v>683</v>
      </c>
      <c r="C54" s="745" t="s">
        <v>680</v>
      </c>
      <c r="E54" s="834"/>
      <c r="F54" s="194" t="s">
        <v>680</v>
      </c>
      <c r="G54" s="738">
        <v>260.16333938294008</v>
      </c>
      <c r="H54" s="738">
        <v>5</v>
      </c>
      <c r="I54" s="738">
        <v>1300.8166969147005</v>
      </c>
      <c r="J54" s="587">
        <v>42.294760000000004</v>
      </c>
      <c r="K54" s="587">
        <v>55017.73</v>
      </c>
      <c r="L54" s="63">
        <f t="shared" si="6"/>
        <v>11003.546</v>
      </c>
      <c r="N54" s="481"/>
    </row>
    <row r="55" spans="2:16" x14ac:dyDescent="0.25">
      <c r="B55" s="479"/>
      <c r="E55" s="834"/>
      <c r="F55" s="194"/>
      <c r="G55" s="194"/>
      <c r="H55" s="194"/>
      <c r="I55" s="194"/>
      <c r="J55" s="194"/>
      <c r="K55" s="479"/>
      <c r="L55" s="63"/>
      <c r="N55" s="481"/>
    </row>
    <row r="56" spans="2:16" x14ac:dyDescent="0.25">
      <c r="B56" s="479" t="s">
        <v>39</v>
      </c>
      <c r="C56" s="745" t="s">
        <v>676</v>
      </c>
      <c r="N56" s="481"/>
    </row>
    <row r="57" spans="2:16" x14ac:dyDescent="0.25">
      <c r="B57" s="479"/>
      <c r="E57" s="834" t="s">
        <v>534</v>
      </c>
      <c r="F57" s="194" t="s">
        <v>583</v>
      </c>
      <c r="G57" s="194" t="s">
        <v>578</v>
      </c>
      <c r="H57" s="194" t="s">
        <v>581</v>
      </c>
      <c r="I57" s="194" t="s">
        <v>580</v>
      </c>
      <c r="J57" s="194" t="s">
        <v>687</v>
      </c>
      <c r="K57" s="479" t="s">
        <v>579</v>
      </c>
      <c r="L57" s="355" t="s">
        <v>753</v>
      </c>
      <c r="N57" s="481"/>
    </row>
    <row r="58" spans="2:16" x14ac:dyDescent="0.25">
      <c r="C58" s="745" t="s">
        <v>685</v>
      </c>
      <c r="E58" s="481" t="s">
        <v>677</v>
      </c>
      <c r="F58" s="727" t="s">
        <v>676</v>
      </c>
      <c r="G58" s="738">
        <v>45.036297640653359</v>
      </c>
      <c r="H58" s="738">
        <v>2</v>
      </c>
      <c r="I58" s="738">
        <v>90.072595281306718</v>
      </c>
      <c r="J58" s="587">
        <v>9617.76</v>
      </c>
      <c r="K58" s="587">
        <v>19235.52</v>
      </c>
      <c r="L58" s="63">
        <f t="shared" ref="L58" si="7">K58/H58</f>
        <v>9617.76</v>
      </c>
      <c r="N58" s="481"/>
    </row>
    <row r="59" spans="2:16" x14ac:dyDescent="0.25">
      <c r="C59" s="481" t="s">
        <v>686</v>
      </c>
      <c r="D59" s="481"/>
      <c r="E59" s="481" t="s">
        <v>659</v>
      </c>
      <c r="F59" s="727" t="s">
        <v>676</v>
      </c>
      <c r="G59" s="738">
        <v>1.9963702359346642</v>
      </c>
      <c r="H59" s="738">
        <v>4</v>
      </c>
      <c r="I59" s="738">
        <v>7.9854809437386569</v>
      </c>
      <c r="J59" s="587">
        <v>3204.8</v>
      </c>
      <c r="K59" s="587">
        <v>12819.2</v>
      </c>
      <c r="L59" s="481"/>
      <c r="M59" s="481"/>
      <c r="N59" s="481"/>
      <c r="O59" s="481"/>
      <c r="P59" s="481"/>
    </row>
    <row r="60" spans="2:16" x14ac:dyDescent="0.25">
      <c r="C60" s="481"/>
      <c r="D60" s="481"/>
      <c r="E60" s="481"/>
      <c r="F60" s="727"/>
      <c r="G60" s="738"/>
      <c r="H60" s="738"/>
      <c r="I60" s="738"/>
      <c r="J60" s="587"/>
      <c r="K60" s="587"/>
      <c r="L60" s="481"/>
      <c r="M60" s="481"/>
      <c r="N60" s="481"/>
      <c r="O60" s="481"/>
      <c r="P60" s="481"/>
    </row>
    <row r="61" spans="2:16" x14ac:dyDescent="0.25">
      <c r="B61" s="479" t="s">
        <v>41</v>
      </c>
      <c r="C61" s="481" t="s">
        <v>688</v>
      </c>
      <c r="D61" s="481"/>
      <c r="E61" s="481"/>
      <c r="F61" s="727" t="s">
        <v>679</v>
      </c>
      <c r="G61" s="738">
        <v>77.132486388384748</v>
      </c>
      <c r="H61" s="738">
        <v>1</v>
      </c>
      <c r="I61" s="738">
        <v>77.132486388384748</v>
      </c>
      <c r="J61" s="587">
        <v>1400</v>
      </c>
      <c r="K61" s="587">
        <v>1400</v>
      </c>
      <c r="L61" s="63">
        <f t="shared" ref="L61:L63" si="8">K61/H61</f>
        <v>1400</v>
      </c>
      <c r="M61" s="481"/>
      <c r="N61" s="481"/>
      <c r="O61" s="481"/>
      <c r="P61" s="481"/>
    </row>
    <row r="62" spans="2:16" x14ac:dyDescent="0.25">
      <c r="B62" s="479" t="s">
        <v>43</v>
      </c>
      <c r="C62" s="481" t="s">
        <v>33</v>
      </c>
      <c r="D62" s="481"/>
      <c r="E62" s="481"/>
      <c r="F62" s="727" t="s">
        <v>33</v>
      </c>
      <c r="G62" s="738">
        <v>1127.4954627949182</v>
      </c>
      <c r="H62" s="738">
        <v>1</v>
      </c>
      <c r="I62" s="738">
        <v>1127.4954627949182</v>
      </c>
      <c r="J62" s="587">
        <v>35000</v>
      </c>
      <c r="K62" s="587">
        <v>35000</v>
      </c>
      <c r="L62" s="63">
        <f t="shared" si="8"/>
        <v>35000</v>
      </c>
      <c r="M62" s="481"/>
      <c r="N62" s="481"/>
      <c r="O62" s="481"/>
      <c r="P62" s="481"/>
    </row>
    <row r="63" spans="2:16" x14ac:dyDescent="0.25">
      <c r="B63" s="479" t="s">
        <v>45</v>
      </c>
      <c r="C63" s="481" t="s">
        <v>681</v>
      </c>
      <c r="D63" s="481"/>
      <c r="E63" s="481"/>
      <c r="F63" s="727" t="s">
        <v>690</v>
      </c>
      <c r="G63" s="738">
        <v>952.81306715063511</v>
      </c>
      <c r="H63" s="738">
        <v>1</v>
      </c>
      <c r="I63" s="738">
        <v>952.81306715063511</v>
      </c>
      <c r="J63" s="587">
        <v>40000</v>
      </c>
      <c r="K63" s="587">
        <v>40000</v>
      </c>
      <c r="L63" s="63">
        <f t="shared" si="8"/>
        <v>40000</v>
      </c>
      <c r="M63" s="481"/>
      <c r="N63" s="481"/>
      <c r="O63" s="481"/>
      <c r="P63" s="481"/>
    </row>
    <row r="64" spans="2:16" x14ac:dyDescent="0.25">
      <c r="B64" s="479" t="s">
        <v>60</v>
      </c>
      <c r="C64" s="481" t="s">
        <v>689</v>
      </c>
      <c r="D64" s="481"/>
      <c r="E64" s="481"/>
      <c r="F64" s="727" t="s">
        <v>691</v>
      </c>
      <c r="G64" s="738">
        <v>0</v>
      </c>
      <c r="H64" s="738">
        <v>2</v>
      </c>
      <c r="I64" s="738">
        <v>0</v>
      </c>
      <c r="J64" s="587">
        <v>6000</v>
      </c>
      <c r="K64" s="587">
        <v>12000</v>
      </c>
      <c r="L64" s="63">
        <f>K64/H64</f>
        <v>6000</v>
      </c>
      <c r="M64" s="481"/>
      <c r="N64" s="481"/>
      <c r="O64" s="481"/>
      <c r="P64" s="481"/>
    </row>
    <row r="65" spans="2:16" x14ac:dyDescent="0.25">
      <c r="B65" s="481"/>
      <c r="C65" s="481"/>
      <c r="D65" s="481"/>
      <c r="E65" s="481"/>
      <c r="F65" s="269"/>
      <c r="G65" s="269"/>
      <c r="H65" s="269"/>
      <c r="I65" s="481"/>
      <c r="J65" s="717"/>
      <c r="K65" s="749"/>
      <c r="L65" s="481"/>
      <c r="M65" s="481"/>
      <c r="N65" s="481"/>
      <c r="O65" s="481"/>
      <c r="P65" s="481"/>
    </row>
    <row r="66" spans="2:16" x14ac:dyDescent="0.25">
      <c r="B66" s="481"/>
      <c r="C66" s="481"/>
      <c r="D66" s="481"/>
      <c r="E66" s="481"/>
      <c r="F66" s="269"/>
      <c r="G66" s="269"/>
      <c r="H66" s="269"/>
      <c r="I66" s="481"/>
      <c r="J66" s="717"/>
      <c r="K66" s="749"/>
      <c r="L66" s="481"/>
      <c r="M66" s="481"/>
      <c r="N66" s="481"/>
      <c r="O66" s="481"/>
      <c r="P66" s="481"/>
    </row>
    <row r="67" spans="2:16" x14ac:dyDescent="0.25">
      <c r="B67" s="481"/>
      <c r="C67" s="481"/>
      <c r="D67" s="481"/>
      <c r="E67" s="481"/>
      <c r="F67" s="269"/>
      <c r="G67" s="269"/>
      <c r="H67" s="269"/>
      <c r="I67" s="481"/>
      <c r="J67" s="717"/>
      <c r="K67" s="720"/>
      <c r="L67" s="750"/>
      <c r="M67" s="481"/>
      <c r="N67" s="481"/>
      <c r="O67" s="481"/>
      <c r="P67" s="481"/>
    </row>
    <row r="68" spans="2:16" x14ac:dyDescent="0.25">
      <c r="B68" s="481"/>
      <c r="C68" s="481"/>
      <c r="D68" s="481"/>
      <c r="E68" s="481"/>
      <c r="F68" s="269"/>
      <c r="G68" s="269"/>
      <c r="H68" s="269"/>
      <c r="I68" s="481"/>
      <c r="J68" s="717"/>
      <c r="K68" s="749"/>
      <c r="L68" s="481"/>
      <c r="M68" s="481"/>
      <c r="N68" s="481"/>
      <c r="O68" s="481"/>
      <c r="P68" s="481"/>
    </row>
    <row r="69" spans="2:16" x14ac:dyDescent="0.25">
      <c r="B69" s="481"/>
      <c r="C69" s="481"/>
      <c r="D69" s="481"/>
      <c r="E69" s="481"/>
      <c r="F69" s="269"/>
      <c r="G69" s="269"/>
      <c r="H69" s="269"/>
      <c r="I69" s="481"/>
      <c r="J69" s="717"/>
      <c r="K69" s="719"/>
      <c r="L69" s="481"/>
      <c r="M69" s="481"/>
      <c r="N69" s="481"/>
      <c r="O69" s="481"/>
      <c r="P69" s="481"/>
    </row>
    <row r="70" spans="2:16" x14ac:dyDescent="0.25">
      <c r="B70" s="481"/>
      <c r="C70" s="481"/>
      <c r="D70" s="481"/>
      <c r="E70" s="481"/>
      <c r="F70" s="269"/>
      <c r="G70" s="269"/>
      <c r="H70" s="269"/>
      <c r="I70" s="481"/>
      <c r="J70" s="717"/>
      <c r="K70" s="718"/>
      <c r="L70" s="481"/>
      <c r="M70" s="481"/>
      <c r="N70" s="481"/>
      <c r="O70" s="481"/>
      <c r="P70" s="481"/>
    </row>
    <row r="71" spans="2:16" x14ac:dyDescent="0.25">
      <c r="B71" s="481"/>
      <c r="C71" s="481"/>
      <c r="D71" s="481"/>
      <c r="E71" s="481"/>
      <c r="F71" s="269"/>
      <c r="G71" s="269"/>
      <c r="H71" s="269"/>
      <c r="I71" s="481"/>
      <c r="J71" s="717"/>
      <c r="K71" s="718"/>
      <c r="L71" s="481"/>
      <c r="M71" s="481"/>
      <c r="N71" s="481"/>
      <c r="O71" s="481"/>
      <c r="P71" s="481"/>
    </row>
    <row r="72" spans="2:16" x14ac:dyDescent="0.25">
      <c r="B72" s="481"/>
      <c r="C72" s="481"/>
      <c r="D72" s="481"/>
      <c r="E72" s="481"/>
      <c r="F72" s="269"/>
      <c r="G72" s="269"/>
      <c r="H72" s="269"/>
      <c r="I72" s="481"/>
      <c r="J72" s="717"/>
      <c r="K72" s="718"/>
      <c r="L72" s="481"/>
      <c r="M72" s="481"/>
      <c r="N72" s="481"/>
      <c r="O72" s="481"/>
      <c r="P72" s="481"/>
    </row>
    <row r="73" spans="2:16" x14ac:dyDescent="0.25">
      <c r="B73" s="481"/>
      <c r="C73" s="481"/>
      <c r="D73" s="481"/>
      <c r="E73" s="481"/>
      <c r="F73" s="269"/>
      <c r="G73" s="269"/>
      <c r="H73" s="269"/>
      <c r="I73" s="481"/>
      <c r="J73" s="717"/>
      <c r="K73" s="718"/>
      <c r="L73" s="481"/>
      <c r="M73" s="481"/>
      <c r="N73" s="481"/>
      <c r="O73" s="481"/>
      <c r="P73" s="481"/>
    </row>
    <row r="74" spans="2:16" x14ac:dyDescent="0.25">
      <c r="B74" s="481"/>
      <c r="C74" s="481"/>
      <c r="D74" s="481"/>
      <c r="E74" s="481"/>
      <c r="F74" s="269"/>
      <c r="G74" s="269"/>
      <c r="H74" s="269"/>
      <c r="I74" s="481"/>
      <c r="J74" s="717"/>
      <c r="K74" s="718"/>
      <c r="L74" s="481"/>
      <c r="M74" s="481"/>
      <c r="N74" s="481"/>
      <c r="O74" s="481"/>
      <c r="P74" s="481"/>
    </row>
    <row r="75" spans="2:16" x14ac:dyDescent="0.25">
      <c r="B75" s="481"/>
      <c r="C75" s="481"/>
      <c r="D75" s="481"/>
      <c r="E75" s="199"/>
      <c r="F75" s="355"/>
      <c r="G75" s="355"/>
      <c r="H75" s="355"/>
      <c r="I75" s="355"/>
      <c r="J75" s="355"/>
      <c r="K75" s="481"/>
      <c r="L75" s="481"/>
      <c r="M75" s="481"/>
      <c r="N75" s="481"/>
      <c r="O75" s="481"/>
      <c r="P75" s="481"/>
    </row>
    <row r="76" spans="2:16" x14ac:dyDescent="0.25">
      <c r="B76" s="479"/>
      <c r="C76" s="479"/>
      <c r="D76" s="479"/>
      <c r="E76" s="834"/>
      <c r="F76" s="194"/>
      <c r="G76" s="194"/>
      <c r="H76" s="194"/>
      <c r="I76" s="194"/>
      <c r="J76" s="194"/>
      <c r="K76" s="479"/>
      <c r="N76" s="481"/>
      <c r="O76" s="480"/>
    </row>
    <row r="77" spans="2:16" x14ac:dyDescent="0.25">
      <c r="B77" s="479"/>
      <c r="C77" s="479"/>
      <c r="D77" s="479"/>
      <c r="E77" s="834"/>
      <c r="F77" s="194"/>
      <c r="G77" s="194"/>
      <c r="H77" s="194"/>
      <c r="I77" s="194"/>
      <c r="J77" s="194"/>
      <c r="K77" s="479"/>
      <c r="N77" s="481"/>
      <c r="O77" s="480"/>
    </row>
    <row r="78" spans="2:16" x14ac:dyDescent="0.25">
      <c r="B78" s="479"/>
      <c r="C78" s="479"/>
      <c r="D78" s="479"/>
      <c r="E78" s="834"/>
      <c r="F78" s="194"/>
      <c r="G78" s="194"/>
      <c r="H78" s="194"/>
      <c r="I78" s="194"/>
      <c r="J78" s="194"/>
      <c r="K78" s="479"/>
      <c r="N78" s="481"/>
      <c r="O78" s="480"/>
    </row>
    <row r="79" spans="2:16" x14ac:dyDescent="0.25">
      <c r="B79" s="479"/>
      <c r="C79" s="479"/>
      <c r="D79" s="479"/>
      <c r="E79" s="834"/>
      <c r="F79" s="194"/>
      <c r="G79" s="194"/>
      <c r="H79" s="194"/>
      <c r="I79" s="194"/>
      <c r="J79" s="194"/>
      <c r="K79" s="479"/>
      <c r="N79" s="481"/>
      <c r="O79" s="480"/>
    </row>
    <row r="80" spans="2:16" x14ac:dyDescent="0.25">
      <c r="B80" s="479"/>
      <c r="C80" s="479"/>
      <c r="D80" s="479"/>
      <c r="E80" s="834"/>
      <c r="F80" s="194"/>
      <c r="G80" s="194"/>
      <c r="H80" s="194"/>
      <c r="I80" s="194"/>
      <c r="J80" s="194"/>
      <c r="K80" s="479"/>
      <c r="N80" s="481"/>
      <c r="O80" s="480"/>
    </row>
    <row r="81" spans="2:20" x14ac:dyDescent="0.25">
      <c r="B81" s="479"/>
      <c r="C81" s="479"/>
      <c r="D81" s="479"/>
      <c r="E81" s="834"/>
      <c r="F81" s="194"/>
      <c r="G81" s="194"/>
      <c r="H81" s="194"/>
      <c r="I81" s="194"/>
      <c r="J81" s="194"/>
      <c r="K81" s="479"/>
      <c r="N81" s="481"/>
      <c r="O81" s="480"/>
    </row>
    <row r="82" spans="2:20" x14ac:dyDescent="0.25">
      <c r="B82" s="479"/>
      <c r="C82" s="479"/>
      <c r="D82" s="479"/>
      <c r="E82" s="834"/>
      <c r="F82" s="194"/>
      <c r="G82" s="194"/>
      <c r="H82" s="194"/>
      <c r="I82" s="194"/>
      <c r="J82" s="194"/>
      <c r="K82" s="479"/>
      <c r="N82" s="481"/>
      <c r="O82" s="480"/>
    </row>
    <row r="83" spans="2:20" x14ac:dyDescent="0.25">
      <c r="B83" s="479"/>
      <c r="C83" s="479"/>
      <c r="D83" s="479"/>
      <c r="E83" s="834"/>
      <c r="F83" s="194"/>
      <c r="G83" s="194"/>
      <c r="H83" s="194"/>
      <c r="I83" s="194"/>
      <c r="J83" s="194"/>
      <c r="K83" s="479"/>
      <c r="N83" s="481"/>
      <c r="O83" s="480"/>
    </row>
    <row r="84" spans="2:20" x14ac:dyDescent="0.25">
      <c r="B84" s="479"/>
      <c r="C84" s="479"/>
      <c r="D84" s="479"/>
      <c r="E84" s="834"/>
      <c r="F84" s="194"/>
      <c r="G84" s="194"/>
      <c r="H84" s="194"/>
      <c r="I84" s="194"/>
      <c r="J84" s="194"/>
      <c r="K84" s="479"/>
      <c r="N84" s="481"/>
      <c r="O84" s="480"/>
    </row>
    <row r="85" spans="2:20" x14ac:dyDescent="0.25">
      <c r="B85" s="479"/>
      <c r="C85" s="479"/>
      <c r="D85" s="479"/>
      <c r="E85" s="834"/>
      <c r="F85" s="194"/>
      <c r="G85" s="194"/>
      <c r="H85" s="194"/>
      <c r="I85" s="194"/>
      <c r="J85" s="194"/>
      <c r="K85" s="479"/>
      <c r="N85" s="481"/>
      <c r="O85" s="480"/>
    </row>
    <row r="86" spans="2:20" x14ac:dyDescent="0.25">
      <c r="F86" s="464"/>
      <c r="I86" s="389"/>
      <c r="J86" s="464"/>
      <c r="N86" s="480"/>
      <c r="O86" s="481"/>
      <c r="P86" s="481"/>
      <c r="Q86" s="481"/>
      <c r="R86" s="481"/>
      <c r="S86" s="481"/>
      <c r="T86" s="481"/>
    </row>
    <row r="87" spans="2:20" x14ac:dyDescent="0.25">
      <c r="F87" s="464"/>
      <c r="I87" s="389"/>
      <c r="J87" s="464"/>
      <c r="N87" s="480"/>
      <c r="O87" s="481"/>
      <c r="P87" s="481"/>
      <c r="Q87" s="481"/>
      <c r="R87" s="481"/>
      <c r="S87" s="481"/>
      <c r="T87" s="481"/>
    </row>
    <row r="88" spans="2:20" x14ac:dyDescent="0.25">
      <c r="F88" s="464"/>
      <c r="I88" s="389"/>
      <c r="J88" s="464"/>
      <c r="N88" s="480"/>
      <c r="O88" s="481"/>
      <c r="P88" s="481"/>
      <c r="Q88" s="481"/>
      <c r="R88" s="481"/>
      <c r="S88" s="481"/>
      <c r="T88" s="481"/>
    </row>
    <row r="89" spans="2:20" x14ac:dyDescent="0.25">
      <c r="J89" s="248"/>
      <c r="N89" s="480"/>
      <c r="O89" s="481"/>
      <c r="P89" s="481"/>
      <c r="Q89" s="481"/>
      <c r="R89" s="481"/>
      <c r="S89" s="481"/>
      <c r="T89" s="481"/>
    </row>
    <row r="90" spans="2:20" x14ac:dyDescent="0.25">
      <c r="N90" s="480"/>
      <c r="O90" s="481"/>
      <c r="P90" s="481"/>
      <c r="Q90" s="481"/>
      <c r="R90" s="481"/>
      <c r="S90" s="481"/>
      <c r="T90" s="481"/>
    </row>
    <row r="91" spans="2:20" x14ac:dyDescent="0.25">
      <c r="N91" s="480"/>
      <c r="O91" s="481"/>
      <c r="P91" s="481"/>
      <c r="Q91" s="481"/>
      <c r="R91" s="481"/>
      <c r="S91" s="481"/>
      <c r="T91" s="481"/>
    </row>
    <row r="92" spans="2:20" x14ac:dyDescent="0.25">
      <c r="B92" s="595"/>
      <c r="C92" s="595"/>
      <c r="H92" s="407"/>
      <c r="N92" s="480"/>
      <c r="O92" s="481"/>
      <c r="P92" s="481"/>
      <c r="Q92" s="481"/>
      <c r="R92" s="481"/>
      <c r="S92" s="481"/>
      <c r="T92" s="481"/>
    </row>
    <row r="93" spans="2:20" x14ac:dyDescent="0.25">
      <c r="N93" s="480"/>
      <c r="O93" s="481"/>
      <c r="P93" s="481"/>
      <c r="Q93" s="481"/>
      <c r="R93" s="481"/>
      <c r="S93" s="481"/>
      <c r="T93" s="481"/>
    </row>
    <row r="94" spans="2:20" x14ac:dyDescent="0.25">
      <c r="E94" s="595"/>
      <c r="F94" s="595"/>
      <c r="G94" s="595"/>
      <c r="H94" s="595"/>
      <c r="I94" s="595"/>
      <c r="J94" s="595"/>
      <c r="K94" s="595"/>
      <c r="L94" s="595"/>
      <c r="M94" s="595"/>
      <c r="O94" s="481"/>
      <c r="P94" s="481"/>
      <c r="Q94" s="481"/>
      <c r="R94" s="481"/>
      <c r="S94" s="481"/>
      <c r="T94" s="481"/>
    </row>
    <row r="95" spans="2:20" x14ac:dyDescent="0.25">
      <c r="E95" s="746"/>
      <c r="G95" s="408"/>
      <c r="H95" s="508"/>
      <c r="I95" s="408"/>
      <c r="J95" s="436"/>
      <c r="K95" s="436"/>
      <c r="N95" s="63"/>
      <c r="O95" s="481"/>
      <c r="P95" s="481"/>
      <c r="Q95" s="481"/>
      <c r="R95" s="481"/>
      <c r="S95" s="481"/>
      <c r="T95" s="481"/>
    </row>
    <row r="96" spans="2:20" x14ac:dyDescent="0.25">
      <c r="E96" s="746"/>
      <c r="G96" s="408"/>
      <c r="H96" s="508"/>
      <c r="I96" s="408"/>
      <c r="J96" s="436"/>
      <c r="K96" s="436"/>
      <c r="O96" s="481"/>
      <c r="P96" s="481"/>
      <c r="Q96" s="481"/>
      <c r="R96" s="481"/>
      <c r="S96" s="481"/>
      <c r="T96" s="481"/>
    </row>
    <row r="97" spans="2:20" x14ac:dyDescent="0.25">
      <c r="E97" s="746"/>
      <c r="G97" s="408"/>
      <c r="H97" s="508"/>
      <c r="I97" s="408"/>
      <c r="J97" s="436"/>
      <c r="K97" s="436"/>
      <c r="O97" s="481"/>
      <c r="P97" s="481"/>
      <c r="Q97" s="481"/>
      <c r="R97" s="481"/>
      <c r="S97" s="481"/>
      <c r="T97" s="481"/>
    </row>
    <row r="98" spans="2:20" x14ac:dyDescent="0.25">
      <c r="E98" s="746"/>
      <c r="G98" s="408"/>
      <c r="H98" s="508"/>
      <c r="I98" s="408"/>
      <c r="J98" s="436"/>
      <c r="K98" s="436"/>
      <c r="O98" s="481"/>
      <c r="P98" s="481"/>
      <c r="Q98" s="481"/>
      <c r="R98" s="481"/>
      <c r="S98" s="481"/>
      <c r="T98" s="481"/>
    </row>
    <row r="99" spans="2:20" x14ac:dyDescent="0.25">
      <c r="E99" s="746"/>
      <c r="G99" s="408"/>
      <c r="H99" s="508"/>
      <c r="I99" s="408"/>
      <c r="J99" s="436"/>
      <c r="K99" s="436"/>
      <c r="O99" s="481"/>
      <c r="P99" s="481"/>
      <c r="Q99" s="481"/>
      <c r="R99" s="481"/>
      <c r="S99" s="481"/>
      <c r="T99" s="481"/>
    </row>
    <row r="100" spans="2:20" x14ac:dyDescent="0.25">
      <c r="E100" s="746"/>
      <c r="G100" s="408"/>
      <c r="H100" s="508"/>
      <c r="I100" s="408"/>
      <c r="J100" s="436"/>
      <c r="K100" s="436"/>
    </row>
    <row r="101" spans="2:20" x14ac:dyDescent="0.25">
      <c r="E101" s="746"/>
      <c r="G101" s="408"/>
      <c r="H101" s="508"/>
      <c r="I101" s="408"/>
      <c r="J101" s="436"/>
      <c r="K101" s="436"/>
    </row>
    <row r="102" spans="2:20" x14ac:dyDescent="0.25">
      <c r="B102" s="479"/>
      <c r="C102" s="479"/>
      <c r="D102" s="479"/>
      <c r="E102" s="482"/>
      <c r="F102" s="479"/>
      <c r="G102" s="864"/>
      <c r="H102" s="865"/>
      <c r="I102" s="864"/>
      <c r="J102" s="23"/>
      <c r="K102" s="23"/>
      <c r="L102" s="479"/>
      <c r="M102" s="479"/>
    </row>
    <row r="103" spans="2:20" x14ac:dyDescent="0.25">
      <c r="B103" s="479"/>
      <c r="C103" s="479"/>
      <c r="D103" s="479"/>
      <c r="E103" s="482"/>
      <c r="F103" s="479"/>
      <c r="G103" s="864"/>
      <c r="H103" s="865"/>
      <c r="I103" s="864"/>
      <c r="J103" s="23"/>
      <c r="K103" s="23"/>
      <c r="L103" s="479"/>
      <c r="M103" s="479"/>
    </row>
    <row r="104" spans="2:20" x14ac:dyDescent="0.25">
      <c r="B104" s="479"/>
      <c r="C104" s="479"/>
      <c r="D104" s="479"/>
      <c r="E104" s="482"/>
      <c r="F104" s="479"/>
      <c r="G104" s="864"/>
      <c r="H104" s="865"/>
      <c r="I104" s="864"/>
      <c r="J104" s="23"/>
      <c r="K104" s="23"/>
      <c r="L104" s="479"/>
      <c r="M104" s="479"/>
    </row>
    <row r="105" spans="2:20" x14ac:dyDescent="0.25">
      <c r="B105" s="479"/>
      <c r="C105" s="479"/>
      <c r="D105" s="479"/>
      <c r="E105" s="482"/>
      <c r="F105" s="479"/>
      <c r="G105" s="864"/>
      <c r="H105" s="865"/>
      <c r="I105" s="864"/>
      <c r="J105" s="866"/>
      <c r="K105" s="23"/>
      <c r="L105" s="479"/>
      <c r="M105" s="479"/>
    </row>
    <row r="106" spans="2:20" x14ac:dyDescent="0.25">
      <c r="B106" s="479"/>
      <c r="C106" s="479"/>
      <c r="D106" s="479"/>
      <c r="E106" s="482"/>
      <c r="F106" s="479"/>
      <c r="G106" s="864"/>
      <c r="H106" s="865"/>
      <c r="I106" s="864"/>
      <c r="J106" s="866"/>
      <c r="K106" s="23"/>
      <c r="L106" s="479"/>
      <c r="M106" s="479"/>
    </row>
    <row r="107" spans="2:20" x14ac:dyDescent="0.25">
      <c r="B107" s="479"/>
      <c r="C107" s="479"/>
      <c r="D107" s="479"/>
      <c r="E107" s="482"/>
      <c r="F107" s="479"/>
      <c r="G107" s="864"/>
      <c r="H107" s="865"/>
      <c r="I107" s="864"/>
      <c r="J107" s="23"/>
      <c r="K107" s="23"/>
      <c r="L107" s="479"/>
      <c r="M107" s="479"/>
    </row>
    <row r="108" spans="2:20" x14ac:dyDescent="0.25">
      <c r="B108" s="479"/>
      <c r="C108" s="479"/>
      <c r="D108" s="481"/>
      <c r="E108" s="402"/>
      <c r="F108" s="479"/>
      <c r="G108" s="864"/>
      <c r="H108" s="865"/>
      <c r="I108" s="864"/>
      <c r="J108" s="81"/>
      <c r="K108" s="23"/>
      <c r="L108" s="479"/>
      <c r="M108" s="479"/>
    </row>
    <row r="109" spans="2:20" x14ac:dyDescent="0.25">
      <c r="B109" s="479"/>
      <c r="C109" s="479"/>
      <c r="D109" s="481"/>
      <c r="E109" s="402"/>
      <c r="F109" s="479"/>
      <c r="G109" s="476"/>
      <c r="H109" s="865"/>
      <c r="I109" s="864"/>
      <c r="J109" s="81"/>
      <c r="K109" s="23"/>
      <c r="L109" s="479"/>
      <c r="M109" s="479"/>
    </row>
    <row r="110" spans="2:20" x14ac:dyDescent="0.25">
      <c r="B110" s="479"/>
      <c r="C110" s="479"/>
      <c r="D110" s="481"/>
      <c r="E110" s="402"/>
      <c r="F110" s="479"/>
      <c r="G110" s="476"/>
      <c r="H110" s="865"/>
      <c r="I110" s="864"/>
      <c r="J110" s="81"/>
      <c r="K110" s="23"/>
      <c r="L110" s="481"/>
      <c r="M110" s="479"/>
    </row>
    <row r="111" spans="2:20" x14ac:dyDescent="0.25">
      <c r="B111" s="479"/>
      <c r="C111" s="479"/>
      <c r="D111" s="481"/>
      <c r="E111" s="402"/>
      <c r="F111" s="479"/>
      <c r="G111" s="476"/>
      <c r="H111" s="865"/>
      <c r="I111" s="864"/>
      <c r="J111" s="81"/>
      <c r="K111" s="23"/>
      <c r="L111" s="481"/>
      <c r="M111" s="479"/>
    </row>
    <row r="112" spans="2:20" x14ac:dyDescent="0.25">
      <c r="B112" s="479"/>
      <c r="C112" s="479"/>
      <c r="D112" s="481"/>
      <c r="E112" s="402"/>
      <c r="F112" s="479"/>
      <c r="G112" s="476"/>
      <c r="H112" s="865"/>
      <c r="I112" s="864"/>
      <c r="J112" s="867"/>
      <c r="K112" s="23"/>
      <c r="L112" s="479"/>
      <c r="M112" s="479"/>
    </row>
    <row r="113" spans="2:14" x14ac:dyDescent="0.25">
      <c r="B113" s="479"/>
      <c r="C113" s="479"/>
      <c r="D113" s="481"/>
      <c r="E113" s="402"/>
      <c r="F113" s="479"/>
      <c r="G113" s="476"/>
      <c r="H113" s="865"/>
      <c r="I113" s="864"/>
      <c r="J113" s="867"/>
      <c r="K113" s="23"/>
      <c r="L113" s="479"/>
      <c r="M113" s="479"/>
    </row>
    <row r="114" spans="2:14" x14ac:dyDescent="0.25">
      <c r="B114" s="479"/>
      <c r="C114" s="479"/>
      <c r="D114" s="481"/>
      <c r="E114" s="402"/>
      <c r="F114" s="479"/>
      <c r="G114" s="476"/>
      <c r="H114" s="865"/>
      <c r="I114" s="864"/>
      <c r="J114" s="867"/>
      <c r="K114" s="23"/>
      <c r="L114" s="479"/>
      <c r="M114" s="479"/>
    </row>
    <row r="115" spans="2:14" x14ac:dyDescent="0.25">
      <c r="B115" s="479"/>
      <c r="C115" s="479"/>
      <c r="D115" s="481"/>
      <c r="E115" s="402"/>
      <c r="F115" s="479"/>
      <c r="G115" s="476"/>
      <c r="H115" s="865"/>
      <c r="I115" s="864"/>
      <c r="J115" s="867"/>
      <c r="K115" s="23"/>
      <c r="L115" s="479"/>
      <c r="M115" s="479"/>
    </row>
    <row r="116" spans="2:14" x14ac:dyDescent="0.25">
      <c r="B116" s="479"/>
      <c r="C116" s="479"/>
      <c r="D116" s="481"/>
      <c r="E116" s="402"/>
      <c r="F116" s="479"/>
      <c r="G116" s="476"/>
      <c r="H116" s="865"/>
      <c r="I116" s="864"/>
      <c r="J116" s="867"/>
      <c r="K116" s="23"/>
      <c r="L116" s="479"/>
      <c r="M116" s="479"/>
    </row>
    <row r="117" spans="2:14" x14ac:dyDescent="0.25">
      <c r="B117" s="479"/>
      <c r="C117" s="479"/>
      <c r="D117" s="481"/>
      <c r="E117" s="402"/>
      <c r="F117" s="479"/>
      <c r="G117" s="476"/>
      <c r="H117" s="865"/>
      <c r="I117" s="864"/>
      <c r="J117" s="867"/>
      <c r="K117" s="23"/>
      <c r="L117" s="479"/>
      <c r="M117" s="479"/>
    </row>
    <row r="118" spans="2:14" x14ac:dyDescent="0.25">
      <c r="B118" s="479"/>
      <c r="C118" s="479"/>
      <c r="D118" s="481"/>
      <c r="E118" s="402"/>
      <c r="F118" s="479"/>
      <c r="G118" s="476"/>
      <c r="H118" s="476"/>
      <c r="I118" s="864"/>
      <c r="J118" s="867"/>
      <c r="K118" s="23"/>
      <c r="L118" s="479"/>
      <c r="M118" s="479"/>
    </row>
    <row r="119" spans="2:14" x14ac:dyDescent="0.25">
      <c r="B119" s="479"/>
      <c r="C119" s="479"/>
      <c r="D119" s="479"/>
      <c r="E119" s="479"/>
      <c r="F119" s="434"/>
      <c r="G119" s="868"/>
      <c r="H119" s="479"/>
      <c r="I119" s="479"/>
      <c r="J119" s="479"/>
      <c r="K119" s="23"/>
      <c r="L119" s="479"/>
      <c r="M119" s="479"/>
    </row>
    <row r="120" spans="2:14" x14ac:dyDescent="0.25">
      <c r="B120" s="29"/>
      <c r="C120" s="29"/>
      <c r="D120" s="479"/>
      <c r="E120" s="479"/>
      <c r="F120" s="479"/>
      <c r="G120" s="864"/>
      <c r="H120" s="479"/>
      <c r="I120" s="479"/>
      <c r="J120" s="479"/>
      <c r="K120" s="23"/>
      <c r="L120" s="479"/>
      <c r="M120" s="479"/>
    </row>
    <row r="121" spans="2:14" x14ac:dyDescent="0.25">
      <c r="B121" s="479"/>
      <c r="C121" s="479"/>
      <c r="D121" s="479"/>
      <c r="E121" s="479"/>
      <c r="F121" s="434"/>
      <c r="G121" s="868"/>
      <c r="H121" s="479"/>
      <c r="I121" s="479"/>
      <c r="J121" s="479"/>
      <c r="K121" s="23"/>
      <c r="L121" s="479"/>
      <c r="M121" s="479"/>
    </row>
    <row r="122" spans="2:14" x14ac:dyDescent="0.25">
      <c r="B122" s="479"/>
      <c r="C122" s="479"/>
      <c r="D122" s="479"/>
      <c r="E122" s="29"/>
      <c r="F122" s="29"/>
      <c r="G122" s="29"/>
      <c r="H122" s="29"/>
      <c r="I122" s="29"/>
      <c r="J122" s="29"/>
      <c r="K122" s="29"/>
      <c r="L122" s="29"/>
      <c r="M122" s="479"/>
      <c r="N122" s="595"/>
    </row>
    <row r="123" spans="2:14" x14ac:dyDescent="0.25">
      <c r="B123" s="479"/>
      <c r="C123" s="479"/>
      <c r="D123" s="479"/>
      <c r="E123" s="482"/>
      <c r="F123" s="479"/>
      <c r="G123" s="194"/>
      <c r="H123" s="869"/>
      <c r="I123" s="864"/>
      <c r="J123" s="23"/>
      <c r="K123" s="23"/>
      <c r="L123" s="864"/>
      <c r="M123" s="479"/>
    </row>
    <row r="124" spans="2:14" x14ac:dyDescent="0.25">
      <c r="B124" s="479"/>
      <c r="C124" s="479"/>
      <c r="D124" s="479"/>
      <c r="E124" s="482"/>
      <c r="F124" s="479"/>
      <c r="G124" s="194"/>
      <c r="H124" s="869"/>
      <c r="I124" s="864"/>
      <c r="J124" s="23"/>
      <c r="K124" s="23"/>
      <c r="L124" s="864"/>
      <c r="M124" s="479"/>
    </row>
    <row r="125" spans="2:14" x14ac:dyDescent="0.25">
      <c r="B125" s="479"/>
      <c r="C125" s="479"/>
      <c r="D125" s="479"/>
      <c r="E125" s="482"/>
      <c r="F125" s="479"/>
      <c r="G125" s="194"/>
      <c r="H125" s="869"/>
      <c r="I125" s="864"/>
      <c r="J125" s="23"/>
      <c r="K125" s="23"/>
      <c r="L125" s="864"/>
      <c r="M125" s="479"/>
    </row>
    <row r="126" spans="2:14" x14ac:dyDescent="0.25">
      <c r="B126" s="479"/>
      <c r="C126" s="479"/>
      <c r="D126" s="479"/>
      <c r="E126" s="482"/>
      <c r="F126" s="479"/>
      <c r="G126" s="194"/>
      <c r="H126" s="869"/>
      <c r="I126" s="864"/>
      <c r="J126" s="23"/>
      <c r="K126" s="23"/>
      <c r="L126" s="864"/>
      <c r="M126" s="479"/>
    </row>
    <row r="127" spans="2:14" x14ac:dyDescent="0.25">
      <c r="B127" s="479"/>
      <c r="C127" s="479"/>
      <c r="D127" s="479"/>
      <c r="E127" s="482"/>
      <c r="F127" s="479"/>
      <c r="G127" s="194"/>
      <c r="H127" s="869"/>
      <c r="I127" s="864"/>
      <c r="J127" s="23"/>
      <c r="K127" s="23"/>
      <c r="L127" s="864"/>
      <c r="M127" s="479"/>
    </row>
    <row r="128" spans="2:14" ht="15" customHeight="1" x14ac:dyDescent="0.25">
      <c r="B128" s="479"/>
      <c r="C128" s="479"/>
      <c r="D128" s="192"/>
      <c r="E128" s="482"/>
      <c r="F128" s="192"/>
      <c r="G128" s="194"/>
      <c r="H128" s="869"/>
      <c r="I128" s="864"/>
      <c r="J128" s="23"/>
      <c r="K128" s="23"/>
      <c r="L128" s="864"/>
      <c r="M128" s="479"/>
    </row>
    <row r="129" spans="2:13" ht="15" customHeight="1" x14ac:dyDescent="0.25">
      <c r="B129" s="479"/>
      <c r="C129" s="479"/>
      <c r="D129" s="479"/>
      <c r="E129" s="482"/>
      <c r="F129" s="479"/>
      <c r="G129" s="194"/>
      <c r="H129" s="869"/>
      <c r="I129" s="864"/>
      <c r="J129" s="23"/>
      <c r="K129" s="23"/>
      <c r="L129" s="864"/>
      <c r="M129" s="479"/>
    </row>
    <row r="130" spans="2:13" ht="15" customHeight="1" x14ac:dyDescent="0.25">
      <c r="B130" s="479"/>
      <c r="C130" s="479"/>
      <c r="D130" s="192"/>
      <c r="E130" s="482"/>
      <c r="F130" s="192"/>
      <c r="G130" s="194"/>
      <c r="H130" s="869"/>
      <c r="I130" s="864"/>
      <c r="J130" s="23"/>
      <c r="K130" s="23"/>
      <c r="L130" s="864"/>
      <c r="M130" s="479"/>
    </row>
    <row r="131" spans="2:13" x14ac:dyDescent="0.25">
      <c r="B131" s="479"/>
      <c r="C131" s="479"/>
      <c r="D131" s="479"/>
      <c r="E131" s="482"/>
      <c r="F131" s="479"/>
      <c r="G131" s="194"/>
      <c r="H131" s="869"/>
      <c r="I131" s="864"/>
      <c r="J131" s="23"/>
      <c r="K131" s="23"/>
      <c r="L131" s="864"/>
      <c r="M131" s="479"/>
    </row>
    <row r="132" spans="2:13" x14ac:dyDescent="0.25">
      <c r="B132" s="479"/>
      <c r="C132" s="479"/>
      <c r="D132" s="479"/>
      <c r="E132" s="482"/>
      <c r="F132" s="479"/>
      <c r="G132" s="194"/>
      <c r="H132" s="869"/>
      <c r="I132" s="864"/>
      <c r="J132" s="23"/>
      <c r="K132" s="23"/>
      <c r="L132" s="864"/>
      <c r="M132" s="479"/>
    </row>
    <row r="133" spans="2:13" x14ac:dyDescent="0.25">
      <c r="B133" s="479"/>
      <c r="C133" s="479"/>
      <c r="D133" s="479"/>
      <c r="E133" s="482"/>
      <c r="F133" s="479"/>
      <c r="G133" s="194"/>
      <c r="H133" s="869"/>
      <c r="I133" s="864"/>
      <c r="J133" s="866"/>
      <c r="K133" s="23"/>
      <c r="L133" s="864"/>
      <c r="M133" s="479"/>
    </row>
    <row r="134" spans="2:13" x14ac:dyDescent="0.25">
      <c r="B134" s="479"/>
      <c r="C134" s="479"/>
      <c r="D134" s="479"/>
      <c r="E134" s="482"/>
      <c r="F134" s="479"/>
      <c r="G134" s="194"/>
      <c r="H134" s="869"/>
      <c r="I134" s="864"/>
      <c r="J134" s="866"/>
      <c r="K134" s="23"/>
      <c r="L134" s="864"/>
      <c r="M134" s="479"/>
    </row>
    <row r="135" spans="2:13" ht="16.5" customHeight="1" x14ac:dyDescent="0.25">
      <c r="B135" s="481"/>
      <c r="C135" s="481"/>
      <c r="D135" s="481"/>
      <c r="E135" s="402"/>
      <c r="F135" s="481"/>
      <c r="G135" s="355"/>
      <c r="H135" s="870"/>
      <c r="I135" s="476"/>
      <c r="J135" s="81"/>
      <c r="K135" s="81"/>
      <c r="L135" s="476"/>
    </row>
    <row r="136" spans="2:13" ht="18" customHeight="1" x14ac:dyDescent="0.25">
      <c r="B136" s="481"/>
      <c r="C136" s="481"/>
      <c r="D136" s="481"/>
      <c r="E136" s="402"/>
      <c r="F136" s="481"/>
      <c r="G136" s="355"/>
      <c r="H136" s="870"/>
      <c r="I136" s="476"/>
      <c r="J136" s="81"/>
      <c r="K136" s="81"/>
      <c r="L136" s="476"/>
    </row>
    <row r="137" spans="2:13" x14ac:dyDescent="0.25">
      <c r="B137" s="481"/>
      <c r="C137" s="481"/>
      <c r="D137" s="481"/>
      <c r="E137" s="402"/>
      <c r="F137" s="481"/>
      <c r="G137" s="355"/>
      <c r="H137" s="870"/>
      <c r="I137" s="476"/>
      <c r="J137" s="81"/>
      <c r="K137" s="81"/>
      <c r="L137" s="476"/>
    </row>
    <row r="138" spans="2:13" x14ac:dyDescent="0.25">
      <c r="B138" s="481"/>
      <c r="C138" s="481"/>
      <c r="D138" s="481"/>
      <c r="E138" s="402"/>
      <c r="F138" s="481"/>
      <c r="G138" s="355"/>
      <c r="H138" s="870"/>
      <c r="I138" s="476"/>
      <c r="J138" s="81"/>
      <c r="K138" s="81"/>
      <c r="L138" s="476"/>
    </row>
    <row r="139" spans="2:13" x14ac:dyDescent="0.25">
      <c r="B139" s="481"/>
      <c r="C139" s="481"/>
      <c r="D139" s="481"/>
      <c r="E139" s="402"/>
      <c r="F139" s="481"/>
      <c r="G139" s="355"/>
      <c r="H139" s="355"/>
      <c r="I139" s="476"/>
      <c r="J139" s="81"/>
      <c r="K139" s="81"/>
      <c r="L139" s="476"/>
    </row>
    <row r="140" spans="2:13" x14ac:dyDescent="0.25">
      <c r="B140" s="481"/>
      <c r="C140" s="481"/>
      <c r="D140" s="481"/>
      <c r="E140" s="402"/>
      <c r="F140" s="481"/>
      <c r="G140" s="355"/>
      <c r="H140" s="355"/>
      <c r="I140" s="476"/>
      <c r="J140" s="867"/>
      <c r="K140" s="81"/>
      <c r="L140" s="476"/>
    </row>
    <row r="141" spans="2:13" x14ac:dyDescent="0.25">
      <c r="B141" s="481"/>
      <c r="C141" s="481"/>
      <c r="D141" s="481"/>
      <c r="E141" s="402"/>
      <c r="F141" s="481"/>
      <c r="G141" s="355"/>
      <c r="H141" s="355"/>
      <c r="I141" s="476"/>
      <c r="J141" s="867"/>
      <c r="K141" s="81"/>
      <c r="L141" s="476"/>
    </row>
    <row r="142" spans="2:13" x14ac:dyDescent="0.25">
      <c r="B142" s="481"/>
      <c r="C142" s="481"/>
      <c r="D142" s="481"/>
      <c r="E142" s="402"/>
      <c r="F142" s="481"/>
      <c r="G142" s="355"/>
      <c r="H142" s="355"/>
      <c r="I142" s="476"/>
      <c r="J142" s="867"/>
      <c r="K142" s="81"/>
      <c r="L142" s="476"/>
    </row>
    <row r="143" spans="2:13" x14ac:dyDescent="0.25">
      <c r="B143" s="481"/>
      <c r="C143" s="481"/>
      <c r="D143" s="481"/>
      <c r="E143" s="402"/>
      <c r="F143" s="481"/>
      <c r="G143" s="355"/>
      <c r="H143" s="871"/>
      <c r="I143" s="476"/>
      <c r="J143" s="867"/>
      <c r="K143" s="81"/>
      <c r="L143" s="476"/>
    </row>
    <row r="144" spans="2:13" x14ac:dyDescent="0.25">
      <c r="B144" s="481"/>
      <c r="C144" s="481"/>
      <c r="D144" s="481"/>
      <c r="E144" s="402"/>
      <c r="F144" s="481"/>
      <c r="G144" s="355"/>
      <c r="H144" s="871"/>
      <c r="I144" s="476"/>
      <c r="J144" s="867"/>
      <c r="K144" s="81"/>
      <c r="L144" s="476"/>
    </row>
    <row r="145" spans="1:12" x14ac:dyDescent="0.25">
      <c r="B145" s="481"/>
      <c r="C145" s="481"/>
      <c r="D145" s="481"/>
      <c r="E145" s="481"/>
      <c r="F145" s="481"/>
      <c r="G145" s="476"/>
      <c r="H145" s="872"/>
      <c r="I145" s="476"/>
      <c r="J145" s="867"/>
      <c r="K145" s="476"/>
      <c r="L145" s="476"/>
    </row>
    <row r="146" spans="1:12" x14ac:dyDescent="0.25">
      <c r="B146" s="481"/>
      <c r="C146" s="481"/>
      <c r="D146" s="481"/>
      <c r="E146" s="481"/>
      <c r="F146" s="481"/>
      <c r="G146" s="476"/>
      <c r="H146" s="476"/>
      <c r="I146" s="476"/>
      <c r="J146" s="867"/>
      <c r="K146" s="476"/>
      <c r="L146" s="476"/>
    </row>
    <row r="147" spans="1:12" x14ac:dyDescent="0.25">
      <c r="B147" s="481"/>
      <c r="C147" s="481"/>
      <c r="D147" s="481"/>
      <c r="E147" s="481"/>
      <c r="F147" s="481"/>
      <c r="G147" s="476"/>
      <c r="H147" s="872"/>
      <c r="I147" s="476"/>
      <c r="J147" s="867"/>
      <c r="K147" s="476"/>
      <c r="L147" s="476"/>
    </row>
    <row r="148" spans="1:12" x14ac:dyDescent="0.25">
      <c r="A148" s="595"/>
      <c r="B148" s="481"/>
      <c r="C148" s="481"/>
      <c r="D148" s="481"/>
      <c r="E148" s="476"/>
      <c r="F148" s="872"/>
      <c r="G148" s="476"/>
      <c r="H148" s="867"/>
      <c r="I148" s="867"/>
      <c r="J148" s="481"/>
      <c r="K148" s="481"/>
      <c r="L148" s="481"/>
    </row>
    <row r="149" spans="1:12" x14ac:dyDescent="0.25">
      <c r="A149" s="595"/>
      <c r="B149" s="481"/>
      <c r="C149" s="481"/>
      <c r="D149" s="481"/>
      <c r="E149" s="476"/>
      <c r="F149" s="872"/>
      <c r="G149" s="476"/>
      <c r="H149" s="867"/>
      <c r="I149" s="867"/>
      <c r="J149" s="481"/>
      <c r="K149" s="481"/>
      <c r="L149" s="481"/>
    </row>
    <row r="150" spans="1:12" x14ac:dyDescent="0.25">
      <c r="A150" s="595"/>
      <c r="B150" s="873"/>
      <c r="C150" s="481"/>
      <c r="D150" s="481"/>
      <c r="E150" s="476"/>
      <c r="F150" s="872"/>
      <c r="G150" s="476"/>
      <c r="H150" s="867"/>
      <c r="I150" s="867"/>
      <c r="J150" s="481"/>
      <c r="K150" s="481"/>
      <c r="L150" s="481"/>
    </row>
    <row r="151" spans="1:12" x14ac:dyDescent="0.25">
      <c r="B151" s="481"/>
      <c r="C151" s="481"/>
      <c r="D151" s="481"/>
      <c r="E151" s="476"/>
      <c r="F151" s="872"/>
      <c r="G151" s="476"/>
      <c r="H151" s="867"/>
      <c r="I151" s="867"/>
      <c r="J151" s="481"/>
      <c r="K151" s="481"/>
      <c r="L151" s="481"/>
    </row>
    <row r="152" spans="1:12" x14ac:dyDescent="0.25">
      <c r="A152" s="595"/>
      <c r="B152" s="481"/>
      <c r="C152" s="481"/>
      <c r="D152" s="481"/>
      <c r="E152" s="476"/>
      <c r="F152" s="872"/>
      <c r="G152" s="476"/>
      <c r="H152" s="867"/>
      <c r="I152" s="867"/>
      <c r="J152" s="481"/>
      <c r="K152" s="481"/>
      <c r="L152" s="481"/>
    </row>
    <row r="153" spans="1:12" x14ac:dyDescent="0.25">
      <c r="A153" s="595"/>
      <c r="B153" s="481"/>
      <c r="C153" s="481"/>
      <c r="D153" s="481"/>
      <c r="E153" s="476"/>
      <c r="F153" s="872"/>
      <c r="G153" s="476"/>
      <c r="H153" s="867"/>
      <c r="I153" s="867"/>
      <c r="J153" s="481"/>
      <c r="K153" s="481"/>
      <c r="L153" s="481"/>
    </row>
    <row r="154" spans="1:12" x14ac:dyDescent="0.25">
      <c r="A154" s="595"/>
      <c r="B154" s="481"/>
      <c r="C154" s="481"/>
      <c r="D154" s="481"/>
      <c r="E154" s="476"/>
      <c r="F154" s="872"/>
      <c r="G154" s="476"/>
      <c r="H154" s="867"/>
      <c r="I154" s="867"/>
      <c r="J154" s="481"/>
      <c r="K154" s="481"/>
      <c r="L154" s="481"/>
    </row>
    <row r="155" spans="1:12" x14ac:dyDescent="0.25">
      <c r="A155" s="595"/>
      <c r="B155" s="481"/>
      <c r="C155" s="481"/>
      <c r="D155" s="481"/>
      <c r="E155" s="476"/>
      <c r="F155" s="872"/>
      <c r="G155" s="476"/>
      <c r="H155" s="867"/>
      <c r="I155" s="867"/>
      <c r="J155" s="481"/>
      <c r="K155" s="481"/>
      <c r="L155" s="481"/>
    </row>
    <row r="156" spans="1:12" x14ac:dyDescent="0.25">
      <c r="A156" s="595"/>
      <c r="B156" s="481"/>
      <c r="C156" s="481"/>
      <c r="D156" s="481"/>
      <c r="E156" s="476"/>
      <c r="F156" s="872"/>
      <c r="G156" s="476"/>
      <c r="H156" s="867"/>
      <c r="I156" s="867"/>
      <c r="J156" s="481"/>
      <c r="K156" s="481"/>
      <c r="L156" s="481"/>
    </row>
    <row r="157" spans="1:12" x14ac:dyDescent="0.25">
      <c r="A157" s="595"/>
      <c r="B157" s="481"/>
      <c r="C157" s="481"/>
      <c r="D157" s="481"/>
      <c r="E157" s="476"/>
      <c r="F157" s="872"/>
      <c r="G157" s="476"/>
      <c r="H157" s="867"/>
      <c r="I157" s="867"/>
      <c r="J157" s="481"/>
      <c r="K157" s="481"/>
      <c r="L157" s="481"/>
    </row>
    <row r="158" spans="1:12" x14ac:dyDescent="0.25">
      <c r="A158" s="595"/>
      <c r="B158" s="481"/>
      <c r="C158" s="481"/>
      <c r="D158" s="481"/>
      <c r="E158" s="476"/>
      <c r="F158" s="872"/>
      <c r="G158" s="476"/>
      <c r="H158" s="867"/>
      <c r="I158" s="867"/>
      <c r="J158" s="481"/>
      <c r="K158" s="481"/>
      <c r="L158" s="481"/>
    </row>
    <row r="159" spans="1:12" x14ac:dyDescent="0.25">
      <c r="A159" s="595"/>
      <c r="B159" s="481"/>
      <c r="C159" s="481"/>
      <c r="D159" s="481"/>
      <c r="E159" s="476"/>
      <c r="F159" s="872"/>
      <c r="G159" s="476"/>
      <c r="H159" s="867"/>
      <c r="I159" s="867"/>
      <c r="J159" s="481"/>
      <c r="K159" s="481"/>
      <c r="L159" s="481"/>
    </row>
    <row r="160" spans="1:12" x14ac:dyDescent="0.25">
      <c r="A160" s="595"/>
      <c r="B160" s="481"/>
      <c r="C160" s="481"/>
      <c r="D160" s="481"/>
      <c r="E160" s="476"/>
      <c r="F160" s="872"/>
      <c r="G160" s="476"/>
      <c r="H160" s="867"/>
      <c r="I160" s="867"/>
      <c r="J160" s="481"/>
      <c r="K160" s="481"/>
      <c r="L160" s="481"/>
    </row>
    <row r="161" spans="1:9" x14ac:dyDescent="0.25">
      <c r="A161" s="595"/>
      <c r="E161" s="408"/>
      <c r="F161" s="428"/>
      <c r="G161" s="368"/>
      <c r="H161" s="66"/>
      <c r="I161" s="314"/>
    </row>
    <row r="162" spans="1:9" x14ac:dyDescent="0.25">
      <c r="A162" s="595"/>
      <c r="E162" s="408"/>
      <c r="F162" s="428"/>
      <c r="G162" s="368"/>
      <c r="H162" s="66"/>
      <c r="I162" s="314"/>
    </row>
    <row r="163" spans="1:9" x14ac:dyDescent="0.25">
      <c r="A163" s="595"/>
      <c r="E163" s="408"/>
      <c r="F163" s="428"/>
      <c r="G163" s="368"/>
      <c r="H163" s="66"/>
      <c r="I163" s="314"/>
    </row>
    <row r="164" spans="1:9" x14ac:dyDescent="0.25">
      <c r="A164" s="595"/>
      <c r="E164" s="408"/>
      <c r="F164" s="428"/>
      <c r="G164" s="368"/>
      <c r="H164" s="66"/>
      <c r="I164" s="314"/>
    </row>
    <row r="165" spans="1:9" x14ac:dyDescent="0.25">
      <c r="A165" s="595"/>
      <c r="E165" s="408"/>
      <c r="F165" s="428"/>
      <c r="G165" s="368"/>
      <c r="H165" s="66"/>
      <c r="I165" s="314"/>
    </row>
    <row r="166" spans="1:9" x14ac:dyDescent="0.25">
      <c r="A166" s="595"/>
      <c r="B166" s="480"/>
      <c r="E166" s="408"/>
      <c r="F166" s="428"/>
      <c r="G166" s="368"/>
      <c r="H166" s="66"/>
      <c r="I166" s="314"/>
    </row>
    <row r="167" spans="1:9" x14ac:dyDescent="0.25">
      <c r="A167" s="595"/>
      <c r="B167" s="480"/>
      <c r="E167" s="408"/>
      <c r="F167" s="428"/>
      <c r="G167" s="368"/>
      <c r="H167" s="66"/>
      <c r="I167" s="314"/>
    </row>
    <row r="168" spans="1:9" x14ac:dyDescent="0.25">
      <c r="A168" s="595"/>
      <c r="B168" s="480"/>
      <c r="D168" s="480"/>
      <c r="E168" s="408"/>
      <c r="F168" s="428"/>
      <c r="G168" s="368"/>
      <c r="H168" s="66"/>
      <c r="I168" s="314"/>
    </row>
    <row r="169" spans="1:9" x14ac:dyDescent="0.25">
      <c r="A169" s="595"/>
      <c r="B169" s="480"/>
      <c r="D169" s="480"/>
      <c r="E169" s="408"/>
      <c r="F169" s="428"/>
      <c r="G169" s="368"/>
      <c r="H169" s="66"/>
      <c r="I169" s="314"/>
    </row>
    <row r="170" spans="1:9" x14ac:dyDescent="0.25">
      <c r="A170" s="595"/>
      <c r="B170" s="480"/>
      <c r="E170" s="408"/>
      <c r="F170" s="428"/>
      <c r="G170" s="368"/>
      <c r="H170" s="66"/>
      <c r="I170" s="314"/>
    </row>
    <row r="171" spans="1:9" x14ac:dyDescent="0.25">
      <c r="B171" s="480"/>
      <c r="E171" s="408"/>
      <c r="F171" s="428"/>
      <c r="G171" s="368"/>
      <c r="H171" s="66"/>
    </row>
    <row r="172" spans="1:9" ht="15.75" x14ac:dyDescent="0.25">
      <c r="B172" s="480"/>
      <c r="E172" s="271"/>
      <c r="F172" s="272"/>
      <c r="G172" s="273"/>
      <c r="H172" s="274"/>
    </row>
    <row r="173" spans="1:9" ht="15.75" x14ac:dyDescent="0.25">
      <c r="B173" s="480"/>
      <c r="E173" s="271"/>
      <c r="F173" s="272"/>
      <c r="G173" s="273"/>
      <c r="H173" s="274"/>
    </row>
    <row r="174" spans="1:9" ht="15.75" x14ac:dyDescent="0.25">
      <c r="B174" s="480"/>
      <c r="E174" s="271"/>
      <c r="F174" s="272"/>
      <c r="G174" s="273"/>
      <c r="H174" s="274"/>
    </row>
    <row r="175" spans="1:9" ht="15.75" x14ac:dyDescent="0.25">
      <c r="B175" s="480"/>
      <c r="D175" s="74"/>
      <c r="E175" s="271"/>
      <c r="F175" s="272"/>
      <c r="G175" s="273"/>
      <c r="H175" s="274"/>
    </row>
    <row r="176" spans="1:9" ht="15.75" x14ac:dyDescent="0.25">
      <c r="A176" s="595"/>
      <c r="B176" s="74"/>
      <c r="D176" s="74"/>
      <c r="E176" s="271"/>
      <c r="F176" s="272"/>
      <c r="G176" s="273"/>
      <c r="H176" s="274"/>
    </row>
    <row r="177" spans="1:8" ht="15.75" x14ac:dyDescent="0.25">
      <c r="A177" s="595"/>
      <c r="B177" s="605"/>
      <c r="F177" s="272"/>
      <c r="G177" s="273"/>
      <c r="H177" s="274"/>
    </row>
    <row r="178" spans="1:8" ht="15.75" x14ac:dyDescent="0.25">
      <c r="A178" s="595"/>
      <c r="F178" s="272"/>
      <c r="G178" s="273"/>
      <c r="H178" s="274"/>
    </row>
    <row r="180" spans="1:8" x14ac:dyDescent="0.25">
      <c r="A180" s="595"/>
    </row>
    <row r="181" spans="1:8" ht="15.75" x14ac:dyDescent="0.25">
      <c r="E181" s="271"/>
    </row>
    <row r="182" spans="1:8" ht="15.75" x14ac:dyDescent="0.25">
      <c r="E182" s="271"/>
    </row>
    <row r="183" spans="1:8" ht="15.75" x14ac:dyDescent="0.25">
      <c r="E183" s="271"/>
    </row>
    <row r="184" spans="1:8" ht="15.75" x14ac:dyDescent="0.25">
      <c r="E184" s="271"/>
    </row>
    <row r="185" spans="1:8" ht="15.75" x14ac:dyDescent="0.25">
      <c r="E185" s="271"/>
    </row>
    <row r="186" spans="1:8" ht="15.75" x14ac:dyDescent="0.25">
      <c r="E186" s="271"/>
    </row>
    <row r="187" spans="1:8" ht="15.75" x14ac:dyDescent="0.25">
      <c r="E187" s="271"/>
    </row>
    <row r="188" spans="1:8" ht="15.75" x14ac:dyDescent="0.25">
      <c r="E188" s="271"/>
    </row>
    <row r="189" spans="1:8" ht="15.75" x14ac:dyDescent="0.25">
      <c r="E189" s="271"/>
    </row>
    <row r="190" spans="1:8" ht="15.75" x14ac:dyDescent="0.25">
      <c r="E190" s="271"/>
    </row>
    <row r="194" spans="2:4" x14ac:dyDescent="0.25">
      <c r="B194" s="480"/>
    </row>
    <row r="195" spans="2:4" x14ac:dyDescent="0.25">
      <c r="B195" s="480"/>
    </row>
    <row r="196" spans="2:4" x14ac:dyDescent="0.25">
      <c r="B196" s="480"/>
      <c r="D196" s="480"/>
    </row>
    <row r="197" spans="2:4" x14ac:dyDescent="0.25">
      <c r="B197" s="480"/>
      <c r="D197" s="480"/>
    </row>
    <row r="198" spans="2:4" x14ac:dyDescent="0.25">
      <c r="B198" s="480"/>
    </row>
    <row r="199" spans="2:4" x14ac:dyDescent="0.25">
      <c r="B199" s="480"/>
    </row>
    <row r="200" spans="2:4" x14ac:dyDescent="0.25">
      <c r="B200" s="480"/>
    </row>
    <row r="201" spans="2:4" x14ac:dyDescent="0.25">
      <c r="B201" s="480"/>
    </row>
    <row r="202" spans="2:4" x14ac:dyDescent="0.25">
      <c r="B202" s="480"/>
    </row>
  </sheetData>
  <mergeCells count="2">
    <mergeCell ref="B4:C4"/>
    <mergeCell ref="B5:C5"/>
  </mergeCells>
  <dataValidations count="3">
    <dataValidation type="list" showInputMessage="1" showErrorMessage="1" sqref="F123:F147 F95:F118">
      <formula1>$E$4:$E$12</formula1>
    </dataValidation>
    <dataValidation type="list" showInputMessage="1" showErrorMessage="1" sqref="D148:D152 D175:D176">
      <formula1>#REF!</formula1>
    </dataValidation>
    <dataValidation showInputMessage="1" showErrorMessage="1" sqref="E4:E8"/>
  </dataValidations>
  <pageMargins left="0.7" right="0.7" top="0.75" bottom="0.75" header="0.3" footer="0.3"/>
  <pageSetup orientation="portrait"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7"/>
  <sheetViews>
    <sheetView zoomScale="80" zoomScaleNormal="80" zoomScalePageLayoutView="150" workbookViewId="0">
      <selection activeCell="G53" sqref="G53"/>
    </sheetView>
  </sheetViews>
  <sheetFormatPr defaultColWidth="8.85546875" defaultRowHeight="15" x14ac:dyDescent="0.25"/>
  <cols>
    <col min="1" max="1" width="4.140625" style="610" customWidth="1"/>
    <col min="2" max="2" width="5.140625" style="610" customWidth="1"/>
    <col min="3" max="3" width="4.140625" style="610" customWidth="1"/>
    <col min="4" max="4" width="4.42578125" style="610" customWidth="1"/>
    <col min="5" max="5" width="32.7109375" style="610" customWidth="1"/>
    <col min="6" max="6" width="28.28515625" style="610" bestFit="1" customWidth="1"/>
    <col min="7" max="7" width="16.28515625" style="610" customWidth="1"/>
    <col min="8" max="8" width="12.42578125" style="610" bestFit="1" customWidth="1"/>
    <col min="9" max="9" width="17.85546875" style="610" bestFit="1" customWidth="1"/>
    <col min="10" max="10" width="21.7109375" style="610" bestFit="1" customWidth="1"/>
    <col min="11" max="11" width="18" style="610" customWidth="1"/>
    <col min="12" max="12" width="15.140625" style="610" customWidth="1"/>
    <col min="13" max="13" width="12.28515625" style="610" customWidth="1"/>
    <col min="14" max="14" width="16.28515625" style="610" customWidth="1"/>
    <col min="15" max="15" width="13.28515625" style="610" customWidth="1"/>
    <col min="16" max="16" width="13.28515625" style="945" customWidth="1"/>
    <col min="17" max="17" width="28.85546875" style="610" bestFit="1" customWidth="1"/>
    <col min="18" max="18" width="12.42578125" style="610" customWidth="1"/>
    <col min="19" max="19" width="8.28515625" style="610" customWidth="1"/>
    <col min="20" max="20" width="8.85546875" style="610"/>
    <col min="21" max="21" width="17.28515625" style="610" customWidth="1"/>
    <col min="22" max="23" width="8.85546875" style="610"/>
    <col min="24" max="24" width="11.7109375" style="610" customWidth="1"/>
    <col min="25" max="16384" width="8.85546875" style="610"/>
  </cols>
  <sheetData>
    <row r="1" spans="1:16" ht="15" customHeight="1" x14ac:dyDescent="0.25">
      <c r="A1" s="879" t="s">
        <v>367</v>
      </c>
      <c r="B1" s="874"/>
      <c r="C1" s="874"/>
      <c r="D1" s="874"/>
      <c r="E1" s="874"/>
      <c r="F1" s="874"/>
      <c r="G1" s="874"/>
      <c r="H1" s="874"/>
      <c r="I1" s="874"/>
      <c r="J1" s="874"/>
      <c r="K1" s="874"/>
      <c r="L1" s="874"/>
      <c r="M1" s="874"/>
      <c r="N1" s="874"/>
      <c r="O1" s="874"/>
    </row>
    <row r="2" spans="1:16" ht="15.75" customHeight="1" thickBot="1" x14ac:dyDescent="0.3">
      <c r="A2" s="874"/>
      <c r="B2" s="874"/>
      <c r="C2" s="874"/>
      <c r="D2" s="874"/>
      <c r="E2" s="874"/>
      <c r="F2" s="874"/>
      <c r="G2" s="924"/>
      <c r="H2" s="874"/>
      <c r="I2" s="874"/>
      <c r="J2" s="874"/>
      <c r="K2" s="874"/>
      <c r="L2" s="874"/>
      <c r="M2" s="874"/>
      <c r="N2" s="874"/>
      <c r="O2" s="874"/>
    </row>
    <row r="3" spans="1:16" ht="42.95" customHeight="1" x14ac:dyDescent="0.25">
      <c r="A3" s="879" t="s">
        <v>109</v>
      </c>
      <c r="B3" s="874"/>
      <c r="C3" s="874"/>
      <c r="D3" s="874"/>
      <c r="E3" s="874"/>
      <c r="F3" s="881" t="s">
        <v>227</v>
      </c>
      <c r="G3" s="874">
        <v>1</v>
      </c>
      <c r="H3" s="874">
        <v>10</v>
      </c>
      <c r="I3" s="874">
        <v>50</v>
      </c>
      <c r="J3" s="874">
        <v>100</v>
      </c>
      <c r="K3" s="874" t="s">
        <v>114</v>
      </c>
      <c r="L3" s="874" t="s">
        <v>140</v>
      </c>
      <c r="M3" s="874"/>
      <c r="N3" s="920" t="s">
        <v>478</v>
      </c>
      <c r="O3" s="912" t="s">
        <v>699</v>
      </c>
      <c r="P3" s="956"/>
    </row>
    <row r="4" spans="1:16" ht="15" customHeight="1" x14ac:dyDescent="0.25">
      <c r="A4" s="879"/>
      <c r="B4" s="928" t="s">
        <v>32</v>
      </c>
      <c r="C4" s="928"/>
      <c r="D4" s="903"/>
      <c r="E4" s="917" t="s">
        <v>33</v>
      </c>
      <c r="F4" s="944">
        <f>J4/$J$3</f>
        <v>25687.9440264923</v>
      </c>
      <c r="G4" s="927">
        <f>SUMIF($F$23:$F$46,"="&amp;E4,$N$23:$N$46)</f>
        <v>33000</v>
      </c>
      <c r="H4" s="908">
        <f>$G4*H$3^(LOG10($K4)/LOG10(2))*H$3</f>
        <v>291153.25051839038</v>
      </c>
      <c r="I4" s="908">
        <f>$G4*I$3^(LOG10($K4)/LOG10(2))*I$3</f>
        <v>1333745.7957680325</v>
      </c>
      <c r="J4" s="908">
        <f>$G4*J$3^(LOG10($K4)/LOG10(2))*J$3</f>
        <v>2568794.4026492299</v>
      </c>
      <c r="K4" s="931">
        <v>0.96299999999999997</v>
      </c>
      <c r="L4" s="927">
        <f>SUMIF($F$23:$F$46,"="&amp;E4,$K$23:$K$46)</f>
        <v>908</v>
      </c>
      <c r="M4" s="874"/>
      <c r="N4" s="933">
        <f t="shared" ref="N4" si="0">1-K4</f>
        <v>3.7000000000000033E-2</v>
      </c>
      <c r="O4" s="610" t="s">
        <v>695</v>
      </c>
    </row>
    <row r="5" spans="1:16" s="923" customFormat="1" ht="15" customHeight="1" x14ac:dyDescent="0.25">
      <c r="A5" s="925"/>
      <c r="B5" s="929" t="s">
        <v>34</v>
      </c>
      <c r="C5" s="929"/>
      <c r="D5" s="928"/>
      <c r="E5" s="932" t="s">
        <v>819</v>
      </c>
      <c r="F5" s="944">
        <f t="shared" ref="F5:F13" si="1">J5/$J$3</f>
        <v>217472.60965796627</v>
      </c>
      <c r="G5" s="927">
        <f t="shared" ref="G5:G13" si="2">SUMIF($F$23:$F$46,"="&amp;E5,$N$23:$N$46)</f>
        <v>261557.73787011538</v>
      </c>
      <c r="H5" s="930">
        <f t="shared" ref="H5:J6" si="3">$G5*H$3^(LOG10($K5)/LOG10(2))*H$3</f>
        <v>2384987.2920174706</v>
      </c>
      <c r="I5" s="930">
        <f t="shared" si="3"/>
        <v>11179961.425969889</v>
      </c>
      <c r="J5" s="930">
        <f>$G5*J$3^(LOG10($K5)/LOG10(2))*J$3</f>
        <v>21747260.965796627</v>
      </c>
      <c r="K5" s="931">
        <v>0.97260000000000002</v>
      </c>
      <c r="L5" s="927">
        <f t="shared" ref="L5:L13" si="4">SUMIF($F$23:$F$46,"="&amp;E5,$K$23:$K$46)</f>
        <v>18110.321234119783</v>
      </c>
      <c r="N5" s="933">
        <f t="shared" ref="N5:N6" si="5">1-K5</f>
        <v>2.739999999999998E-2</v>
      </c>
      <c r="O5" s="926" t="s">
        <v>902</v>
      </c>
      <c r="P5" s="953"/>
    </row>
    <row r="6" spans="1:16" s="923" customFormat="1" ht="15" customHeight="1" x14ac:dyDescent="0.25">
      <c r="A6" s="925"/>
      <c r="B6" s="929" t="s">
        <v>35</v>
      </c>
      <c r="C6" s="929"/>
      <c r="D6" s="928"/>
      <c r="E6" s="932" t="s">
        <v>806</v>
      </c>
      <c r="F6" s="944">
        <f t="shared" si="1"/>
        <v>234.69983106133043</v>
      </c>
      <c r="G6" s="927">
        <f t="shared" si="2"/>
        <v>330</v>
      </c>
      <c r="H6" s="930">
        <f t="shared" si="3"/>
        <v>2783.0009746717492</v>
      </c>
      <c r="I6" s="930">
        <f t="shared" si="3"/>
        <v>12352.622687438445</v>
      </c>
      <c r="J6" s="930">
        <f t="shared" si="3"/>
        <v>23469.983106133044</v>
      </c>
      <c r="K6" s="931">
        <v>0.95</v>
      </c>
      <c r="L6" s="927">
        <f t="shared" si="4"/>
        <v>10</v>
      </c>
      <c r="N6" s="933">
        <f t="shared" si="5"/>
        <v>5.0000000000000044E-2</v>
      </c>
      <c r="O6" s="926" t="s">
        <v>697</v>
      </c>
      <c r="P6" s="953"/>
    </row>
    <row r="7" spans="1:16" ht="15" customHeight="1" x14ac:dyDescent="0.25">
      <c r="A7" s="874"/>
      <c r="B7" s="928" t="s">
        <v>36</v>
      </c>
      <c r="C7" s="928"/>
      <c r="D7" s="903"/>
      <c r="E7" s="917" t="s">
        <v>38</v>
      </c>
      <c r="F7" s="944">
        <f t="shared" si="1"/>
        <v>16638.397323416917</v>
      </c>
      <c r="G7" s="927">
        <f t="shared" si="2"/>
        <v>73277</v>
      </c>
      <c r="H7" s="908">
        <f t="shared" ref="H7:J13" si="6">$G7*H$3^(LOG10($K7)/LOG10(2))*H$3</f>
        <v>349172.14102330973</v>
      </c>
      <c r="I7" s="908">
        <f t="shared" si="6"/>
        <v>1039899.8327135576</v>
      </c>
      <c r="J7" s="908">
        <f>$G7*J$3^(LOG10($K7)/LOG10(2))*J$3</f>
        <v>1663839.7323416916</v>
      </c>
      <c r="K7" s="931">
        <v>0.8</v>
      </c>
      <c r="L7" s="927">
        <f t="shared" si="4"/>
        <v>1200.5444646098003</v>
      </c>
      <c r="M7" s="874"/>
      <c r="N7" s="921">
        <f t="shared" ref="N7:N13" si="7">1-K7</f>
        <v>0.19999999999999996</v>
      </c>
      <c r="O7" s="926" t="s">
        <v>693</v>
      </c>
      <c r="P7" s="953"/>
    </row>
    <row r="8" spans="1:16" ht="15" customHeight="1" x14ac:dyDescent="0.25">
      <c r="A8" s="874"/>
      <c r="B8" s="929" t="s">
        <v>39</v>
      </c>
      <c r="C8" s="883"/>
      <c r="D8" s="883"/>
      <c r="E8" s="918" t="s">
        <v>808</v>
      </c>
      <c r="F8" s="944">
        <f t="shared" si="1"/>
        <v>12961.687400230989</v>
      </c>
      <c r="G8" s="927">
        <f t="shared" si="2"/>
        <v>17000</v>
      </c>
      <c r="H8" s="908">
        <f t="shared" si="6"/>
        <v>148441.46516520469</v>
      </c>
      <c r="I8" s="908">
        <f t="shared" si="6"/>
        <v>675087.88542869757</v>
      </c>
      <c r="J8" s="908">
        <f t="shared" si="6"/>
        <v>1296168.7400230989</v>
      </c>
      <c r="K8" s="909">
        <v>0.96</v>
      </c>
      <c r="L8" s="927">
        <f t="shared" si="4"/>
        <v>1590</v>
      </c>
      <c r="M8" s="874"/>
      <c r="N8" s="921">
        <f t="shared" si="7"/>
        <v>4.0000000000000036E-2</v>
      </c>
      <c r="O8" s="898" t="s">
        <v>903</v>
      </c>
      <c r="P8" s="953"/>
    </row>
    <row r="9" spans="1:16" ht="15" customHeight="1" x14ac:dyDescent="0.25">
      <c r="A9" s="923"/>
      <c r="B9" s="941" t="s">
        <v>41</v>
      </c>
      <c r="C9" s="883"/>
      <c r="D9" s="883"/>
      <c r="E9" s="918" t="s">
        <v>443</v>
      </c>
      <c r="F9" s="944">
        <f t="shared" si="1"/>
        <v>4371.9714074675076</v>
      </c>
      <c r="G9" s="927">
        <f t="shared" si="2"/>
        <v>5000</v>
      </c>
      <c r="H9" s="902">
        <f t="shared" si="6"/>
        <v>46754.526024051971</v>
      </c>
      <c r="I9" s="902">
        <f t="shared" si="6"/>
        <v>223059.76568711776</v>
      </c>
      <c r="J9" s="902">
        <f t="shared" si="6"/>
        <v>437197.14074675075</v>
      </c>
      <c r="K9" s="909">
        <v>0.98</v>
      </c>
      <c r="L9" s="927">
        <f t="shared" si="4"/>
        <v>0</v>
      </c>
      <c r="M9" s="874"/>
      <c r="N9" s="921">
        <f t="shared" si="7"/>
        <v>2.0000000000000018E-2</v>
      </c>
      <c r="O9" s="898" t="s">
        <v>904</v>
      </c>
      <c r="P9" s="953"/>
    </row>
    <row r="10" spans="1:16" ht="15" customHeight="1" x14ac:dyDescent="0.25">
      <c r="A10" s="923"/>
      <c r="B10" s="941" t="s">
        <v>43</v>
      </c>
      <c r="C10" s="883"/>
      <c r="D10" s="883"/>
      <c r="E10" s="884" t="s">
        <v>676</v>
      </c>
      <c r="F10" s="944">
        <f t="shared" si="1"/>
        <v>11436.783000203814</v>
      </c>
      <c r="G10" s="927">
        <f t="shared" si="2"/>
        <v>15000</v>
      </c>
      <c r="H10" s="902">
        <f t="shared" si="6"/>
        <v>130977.76338106298</v>
      </c>
      <c r="I10" s="902">
        <f t="shared" si="6"/>
        <v>595665.78126061545</v>
      </c>
      <c r="J10" s="902">
        <f t="shared" si="6"/>
        <v>1143678.3000203813</v>
      </c>
      <c r="K10" s="909">
        <v>0.96</v>
      </c>
      <c r="L10" s="927">
        <f t="shared" si="4"/>
        <v>4300</v>
      </c>
      <c r="M10" s="874"/>
      <c r="N10" s="921">
        <f>1-K10</f>
        <v>4.0000000000000036E-2</v>
      </c>
      <c r="O10" s="898" t="s">
        <v>698</v>
      </c>
      <c r="P10" s="953"/>
    </row>
    <row r="11" spans="1:16" ht="15" customHeight="1" x14ac:dyDescent="0.25">
      <c r="A11" s="923"/>
      <c r="B11" s="941" t="s">
        <v>45</v>
      </c>
      <c r="C11" s="883"/>
      <c r="D11" s="883"/>
      <c r="E11" s="884" t="s">
        <v>809</v>
      </c>
      <c r="F11" s="944">
        <f t="shared" si="1"/>
        <v>54118.110700265133</v>
      </c>
      <c r="G11" s="927">
        <f t="shared" si="2"/>
        <v>70979.020979020977</v>
      </c>
      <c r="H11" s="902">
        <f t="shared" si="6"/>
        <v>619778.22765398095</v>
      </c>
      <c r="I11" s="902">
        <f t="shared" si="6"/>
        <v>2818651.5989721431</v>
      </c>
      <c r="J11" s="902">
        <f t="shared" si="6"/>
        <v>5411811.0700265132</v>
      </c>
      <c r="K11" s="909">
        <v>0.96</v>
      </c>
      <c r="L11" s="927">
        <f t="shared" si="4"/>
        <v>0</v>
      </c>
      <c r="M11" s="874"/>
      <c r="N11" s="921">
        <f t="shared" si="7"/>
        <v>4.0000000000000036E-2</v>
      </c>
      <c r="O11" s="898" t="s">
        <v>905</v>
      </c>
      <c r="P11" s="953"/>
    </row>
    <row r="12" spans="1:16" ht="15" customHeight="1" x14ac:dyDescent="0.25">
      <c r="A12" s="923"/>
      <c r="B12" s="941" t="s">
        <v>60</v>
      </c>
      <c r="C12" s="883"/>
      <c r="D12" s="883"/>
      <c r="E12" s="884" t="s">
        <v>810</v>
      </c>
      <c r="F12" s="944">
        <f t="shared" si="1"/>
        <v>46927.305853361118</v>
      </c>
      <c r="G12" s="927">
        <f t="shared" si="2"/>
        <v>94500</v>
      </c>
      <c r="H12" s="902">
        <f t="shared" si="6"/>
        <v>665930.20678916702</v>
      </c>
      <c r="I12" s="902">
        <f t="shared" si="6"/>
        <v>2607072.5474089514</v>
      </c>
      <c r="J12" s="902">
        <f t="shared" si="6"/>
        <v>4692730.5853361115</v>
      </c>
      <c r="K12" s="909">
        <v>0.9</v>
      </c>
      <c r="L12" s="927">
        <f t="shared" si="4"/>
        <v>10500</v>
      </c>
      <c r="M12" s="874"/>
      <c r="N12" s="921">
        <f t="shared" si="7"/>
        <v>9.9999999999999978E-2</v>
      </c>
      <c r="O12" s="926" t="s">
        <v>910</v>
      </c>
      <c r="P12" s="953"/>
    </row>
    <row r="13" spans="1:16" ht="14.25" customHeight="1" x14ac:dyDescent="0.25">
      <c r="A13" s="923"/>
      <c r="B13" s="941" t="s">
        <v>66</v>
      </c>
      <c r="C13" s="883"/>
      <c r="D13" s="883"/>
      <c r="E13" s="884" t="s">
        <v>17</v>
      </c>
      <c r="F13" s="944">
        <f t="shared" si="1"/>
        <v>3973.5790651882044</v>
      </c>
      <c r="G13" s="927">
        <f t="shared" si="2"/>
        <v>17500</v>
      </c>
      <c r="H13" s="902">
        <f>$G13*H$3^(LOG10($K13)/LOG10(2))*H$3</f>
        <v>83389.228105789283</v>
      </c>
      <c r="I13" s="902">
        <f t="shared" si="6"/>
        <v>248348.69157426283</v>
      </c>
      <c r="J13" s="902">
        <f>$G13*J$3^(LOG10($K13)/LOG10(2))*J$3</f>
        <v>397357.90651882044</v>
      </c>
      <c r="K13" s="909">
        <v>0.8</v>
      </c>
      <c r="L13" s="927">
        <f t="shared" si="4"/>
        <v>0</v>
      </c>
      <c r="M13" s="874"/>
      <c r="N13" s="921">
        <f t="shared" si="7"/>
        <v>0.19999999999999996</v>
      </c>
      <c r="O13" s="898" t="s">
        <v>906</v>
      </c>
      <c r="P13" s="953"/>
    </row>
    <row r="14" spans="1:16" ht="15" customHeight="1" x14ac:dyDescent="0.25">
      <c r="A14" s="874"/>
      <c r="B14" s="883"/>
      <c r="C14" s="883"/>
      <c r="D14" s="883"/>
      <c r="E14" s="883"/>
      <c r="F14" s="927"/>
      <c r="G14" s="905"/>
      <c r="H14" s="905"/>
      <c r="I14" s="905"/>
      <c r="J14" s="905"/>
      <c r="K14" s="884"/>
      <c r="L14" s="874"/>
      <c r="M14" s="874"/>
      <c r="N14" s="921"/>
      <c r="O14" s="874"/>
    </row>
    <row r="15" spans="1:16" ht="15" customHeight="1" x14ac:dyDescent="0.25">
      <c r="A15" s="874"/>
      <c r="B15" s="883"/>
      <c r="C15" s="883"/>
      <c r="D15" s="883"/>
      <c r="E15" s="904" t="s">
        <v>79</v>
      </c>
      <c r="F15" s="905"/>
      <c r="G15" s="905">
        <f>SUM(G4:G13)</f>
        <v>588143.7588491363</v>
      </c>
      <c r="H15" s="905">
        <f>SUM(H4:H13)</f>
        <v>4723367.1016530991</v>
      </c>
      <c r="I15" s="905">
        <f>SUM(I4:I13)</f>
        <v>20733845.947470706</v>
      </c>
      <c r="J15" s="905">
        <f>SUM(J4:J13)</f>
        <v>39382308.826565355</v>
      </c>
      <c r="K15" s="885"/>
      <c r="L15" s="911">
        <f>SUM(L4:L13)</f>
        <v>36618.865698729584</v>
      </c>
      <c r="M15" s="874"/>
      <c r="N15" s="921"/>
      <c r="O15" s="874"/>
    </row>
    <row r="16" spans="1:16" ht="15.75" customHeight="1" thickBot="1" x14ac:dyDescent="0.3">
      <c r="A16" s="874"/>
      <c r="B16" s="893"/>
      <c r="C16" s="893"/>
      <c r="D16" s="893"/>
      <c r="E16" s="894" t="s">
        <v>115</v>
      </c>
      <c r="F16" s="906">
        <f>SUM(F4:F13)</f>
        <v>393823.08826565358</v>
      </c>
      <c r="G16" s="906">
        <f>G15/G3</f>
        <v>588143.7588491363</v>
      </c>
      <c r="H16" s="906">
        <f>H15/H3</f>
        <v>472336.71016530989</v>
      </c>
      <c r="I16" s="906">
        <f>I15/I3</f>
        <v>414676.9189494141</v>
      </c>
      <c r="J16" s="906">
        <f>J15/J3</f>
        <v>393823.08826565353</v>
      </c>
      <c r="K16" s="883"/>
      <c r="L16" s="874"/>
      <c r="M16" s="874"/>
      <c r="N16" s="922"/>
      <c r="O16" s="874"/>
    </row>
    <row r="17" spans="1:18" s="923" customFormat="1" ht="15.75" customHeight="1" x14ac:dyDescent="0.25">
      <c r="B17" s="883"/>
      <c r="C17" s="883"/>
      <c r="D17" s="883"/>
      <c r="E17" s="934"/>
      <c r="F17" s="905"/>
      <c r="G17" s="905"/>
      <c r="H17" s="905"/>
      <c r="I17" s="905"/>
      <c r="J17" s="905"/>
      <c r="K17" s="883"/>
      <c r="N17" s="935"/>
      <c r="P17" s="945"/>
    </row>
    <row r="18" spans="1:18" s="923" customFormat="1" ht="15.75" customHeight="1" x14ac:dyDescent="0.25">
      <c r="B18" s="886" t="s">
        <v>849</v>
      </c>
      <c r="C18" s="883"/>
      <c r="D18" s="883"/>
      <c r="E18" s="934"/>
      <c r="F18" s="905"/>
      <c r="G18" s="905"/>
      <c r="H18" s="905"/>
      <c r="I18" s="905"/>
      <c r="J18" s="905"/>
      <c r="K18" s="883"/>
      <c r="N18" s="935"/>
      <c r="P18" s="945"/>
    </row>
    <row r="19" spans="1:18" s="923" customFormat="1" ht="15.75" customHeight="1" x14ac:dyDescent="0.25">
      <c r="B19" s="883"/>
      <c r="D19" s="883"/>
      <c r="E19" s="936">
        <f>350/286</f>
        <v>1.2237762237762237</v>
      </c>
      <c r="F19" s="905"/>
      <c r="G19" s="905"/>
      <c r="H19" s="905"/>
      <c r="I19" s="905"/>
      <c r="J19" s="905"/>
      <c r="K19" s="883"/>
      <c r="N19" s="935"/>
      <c r="P19" s="945"/>
    </row>
    <row r="20" spans="1:18" s="736" customFormat="1" ht="15" customHeight="1" x14ac:dyDescent="0.25">
      <c r="A20" s="874"/>
      <c r="B20" s="883"/>
      <c r="C20" s="883"/>
      <c r="D20" s="883"/>
      <c r="E20" s="904"/>
      <c r="F20" s="905"/>
      <c r="G20" s="905"/>
      <c r="H20" s="905"/>
      <c r="I20" s="905"/>
      <c r="J20" s="905"/>
      <c r="K20" s="883"/>
      <c r="L20" s="874"/>
      <c r="M20" s="874"/>
      <c r="N20" s="884"/>
      <c r="O20" s="874"/>
      <c r="P20" s="945"/>
    </row>
    <row r="21" spans="1:18" s="736" customFormat="1" ht="15" customHeight="1" x14ac:dyDescent="0.25">
      <c r="B21" s="886" t="s">
        <v>807</v>
      </c>
      <c r="C21" s="886"/>
      <c r="D21" s="886"/>
      <c r="E21" s="904"/>
      <c r="F21" s="905"/>
      <c r="G21" s="905"/>
      <c r="H21" s="905"/>
      <c r="I21" s="905"/>
      <c r="J21" s="905"/>
      <c r="K21" s="883"/>
      <c r="L21" s="874"/>
      <c r="M21" s="874"/>
      <c r="N21" s="884"/>
      <c r="P21" s="945"/>
    </row>
    <row r="22" spans="1:18" s="745" customFormat="1" ht="15" customHeight="1" x14ac:dyDescent="0.25">
      <c r="B22" s="886"/>
      <c r="C22" s="886"/>
      <c r="D22" s="886"/>
      <c r="E22" s="904" t="s">
        <v>534</v>
      </c>
      <c r="F22" s="905" t="s">
        <v>583</v>
      </c>
      <c r="G22" s="905" t="s">
        <v>831</v>
      </c>
      <c r="H22" s="905" t="s">
        <v>829</v>
      </c>
      <c r="I22" s="905" t="s">
        <v>581</v>
      </c>
      <c r="J22" s="745" t="s">
        <v>821</v>
      </c>
      <c r="K22" s="905" t="s">
        <v>580</v>
      </c>
      <c r="L22" s="905" t="s">
        <v>820</v>
      </c>
      <c r="M22" s="927" t="s">
        <v>821</v>
      </c>
      <c r="N22" s="883" t="s">
        <v>579</v>
      </c>
      <c r="O22" s="902" t="s">
        <v>753</v>
      </c>
      <c r="P22" s="955" t="s">
        <v>923</v>
      </c>
      <c r="Q22" s="927" t="s">
        <v>824</v>
      </c>
    </row>
    <row r="23" spans="1:18" s="924" customFormat="1" ht="15" customHeight="1" x14ac:dyDescent="0.25">
      <c r="B23" s="912"/>
      <c r="C23" s="912"/>
      <c r="D23" s="956">
        <v>1</v>
      </c>
      <c r="E23" s="907" t="s">
        <v>286</v>
      </c>
      <c r="F23" s="1002" t="s">
        <v>819</v>
      </c>
      <c r="G23" s="1002" t="s">
        <v>502</v>
      </c>
      <c r="H23" s="1002" t="s">
        <v>502</v>
      </c>
      <c r="I23" s="1002">
        <v>2</v>
      </c>
      <c r="J23" s="1002"/>
      <c r="K23" s="1212">
        <v>2500</v>
      </c>
      <c r="L23" s="1002">
        <v>28000</v>
      </c>
      <c r="M23" s="1002" t="s">
        <v>845</v>
      </c>
      <c r="N23" s="983">
        <f>I23*L23</f>
        <v>56000</v>
      </c>
      <c r="O23" s="1002">
        <f>L23</f>
        <v>28000</v>
      </c>
      <c r="P23" s="1212">
        <f>I23</f>
        <v>2</v>
      </c>
      <c r="Q23" s="1002" t="s">
        <v>846</v>
      </c>
    </row>
    <row r="24" spans="1:18" s="924" customFormat="1" ht="15" customHeight="1" x14ac:dyDescent="0.25">
      <c r="C24" s="884"/>
      <c r="D24" s="977">
        <v>2</v>
      </c>
      <c r="E24" s="907" t="s">
        <v>33</v>
      </c>
      <c r="F24" s="1002" t="s">
        <v>33</v>
      </c>
      <c r="G24" s="907" t="s">
        <v>832</v>
      </c>
      <c r="H24" s="1212" t="s">
        <v>830</v>
      </c>
      <c r="I24" s="1212">
        <v>1</v>
      </c>
      <c r="J24" s="1212" t="s">
        <v>502</v>
      </c>
      <c r="K24" s="1212">
        <v>908</v>
      </c>
      <c r="L24" s="944">
        <v>33000</v>
      </c>
      <c r="M24" s="986" t="s">
        <v>828</v>
      </c>
      <c r="N24" s="983">
        <f t="shared" ref="N24:N29" si="8">L24*I24</f>
        <v>33000</v>
      </c>
      <c r="O24" s="781">
        <f>N24/I24</f>
        <v>33000</v>
      </c>
      <c r="P24" s="1212">
        <f t="shared" ref="P24:P46" si="9">I24</f>
        <v>1</v>
      </c>
      <c r="Q24" s="986" t="s">
        <v>825</v>
      </c>
    </row>
    <row r="25" spans="1:18" s="924" customFormat="1" ht="14.45" x14ac:dyDescent="0.3">
      <c r="C25" s="884"/>
      <c r="D25" s="977">
        <v>3</v>
      </c>
      <c r="E25" s="907" t="s">
        <v>811</v>
      </c>
      <c r="F25" s="1002" t="s">
        <v>819</v>
      </c>
      <c r="G25" s="907" t="s">
        <v>833</v>
      </c>
      <c r="H25" s="1002" t="s">
        <v>842</v>
      </c>
      <c r="I25" s="1212">
        <v>1</v>
      </c>
      <c r="J25" s="1212" t="s">
        <v>502</v>
      </c>
      <c r="K25" s="1212">
        <v>155</v>
      </c>
      <c r="L25" s="944">
        <v>14500</v>
      </c>
      <c r="M25" s="986" t="s">
        <v>828</v>
      </c>
      <c r="N25" s="983">
        <f t="shared" si="8"/>
        <v>14500</v>
      </c>
      <c r="O25" s="781">
        <f>L25</f>
        <v>14500</v>
      </c>
      <c r="P25" s="1212">
        <f t="shared" si="9"/>
        <v>1</v>
      </c>
      <c r="Q25" s="986" t="s">
        <v>837</v>
      </c>
    </row>
    <row r="26" spans="1:18" s="924" customFormat="1" ht="14.45" x14ac:dyDescent="0.3">
      <c r="C26" s="884"/>
      <c r="D26" s="977">
        <v>4</v>
      </c>
      <c r="E26" s="907" t="s">
        <v>812</v>
      </c>
      <c r="F26" s="1002" t="s">
        <v>806</v>
      </c>
      <c r="G26" s="1002"/>
      <c r="H26" s="1002"/>
      <c r="I26" s="1212">
        <v>1</v>
      </c>
      <c r="J26" s="1212" t="s">
        <v>502</v>
      </c>
      <c r="K26" s="1212">
        <v>10</v>
      </c>
      <c r="L26" s="944">
        <v>330</v>
      </c>
      <c r="M26" s="986" t="s">
        <v>828</v>
      </c>
      <c r="N26" s="983">
        <f t="shared" si="8"/>
        <v>330</v>
      </c>
      <c r="O26" s="781">
        <f>L26</f>
        <v>330</v>
      </c>
      <c r="P26" s="1212">
        <f t="shared" si="9"/>
        <v>1</v>
      </c>
      <c r="Q26" s="986" t="s">
        <v>827</v>
      </c>
    </row>
    <row r="27" spans="1:18" s="924" customFormat="1" ht="14.45" x14ac:dyDescent="0.3">
      <c r="C27" s="884"/>
      <c r="D27" s="977">
        <v>5</v>
      </c>
      <c r="E27" s="907" t="s">
        <v>813</v>
      </c>
      <c r="F27" s="1002" t="s">
        <v>819</v>
      </c>
      <c r="G27" s="1002" t="s">
        <v>834</v>
      </c>
      <c r="H27" s="1002" t="s">
        <v>858</v>
      </c>
      <c r="I27" s="1212">
        <v>984</v>
      </c>
      <c r="J27" s="1212" t="s">
        <v>823</v>
      </c>
      <c r="K27" s="1212">
        <v>9502</v>
      </c>
      <c r="L27" s="944">
        <v>39.5</v>
      </c>
      <c r="M27" s="986" t="s">
        <v>822</v>
      </c>
      <c r="N27" s="781">
        <f t="shared" si="8"/>
        <v>38868</v>
      </c>
      <c r="O27" s="781">
        <f>N27/13</f>
        <v>2989.8461538461538</v>
      </c>
      <c r="P27" s="1212">
        <v>13</v>
      </c>
      <c r="Q27" s="986" t="s">
        <v>857</v>
      </c>
    </row>
    <row r="28" spans="1:18" s="924" customFormat="1" ht="14.25" customHeight="1" x14ac:dyDescent="0.3">
      <c r="C28" s="884"/>
      <c r="D28" s="977">
        <v>6</v>
      </c>
      <c r="E28" s="907" t="s">
        <v>814</v>
      </c>
      <c r="F28" s="1002" t="s">
        <v>819</v>
      </c>
      <c r="G28" s="1002" t="s">
        <v>843</v>
      </c>
      <c r="H28" s="1002" t="s">
        <v>844</v>
      </c>
      <c r="I28" s="1212">
        <v>4</v>
      </c>
      <c r="J28" s="1212" t="s">
        <v>502</v>
      </c>
      <c r="K28" s="1212">
        <v>20</v>
      </c>
      <c r="L28" s="944">
        <v>178</v>
      </c>
      <c r="M28" s="986" t="s">
        <v>502</v>
      </c>
      <c r="N28" s="983">
        <f t="shared" si="8"/>
        <v>712</v>
      </c>
      <c r="O28" s="781">
        <f t="shared" ref="O28:O46" si="10">N28/I28</f>
        <v>178</v>
      </c>
      <c r="P28" s="1212">
        <f t="shared" si="9"/>
        <v>4</v>
      </c>
      <c r="Q28" s="986" t="s">
        <v>839</v>
      </c>
      <c r="R28" s="937" t="s">
        <v>853</v>
      </c>
    </row>
    <row r="29" spans="1:18" s="924" customFormat="1" ht="14.45" x14ac:dyDescent="0.3">
      <c r="C29" s="884"/>
      <c r="D29" s="956">
        <v>7</v>
      </c>
      <c r="E29" s="907" t="s">
        <v>816</v>
      </c>
      <c r="F29" s="1002" t="s">
        <v>819</v>
      </c>
      <c r="G29" s="986" t="s">
        <v>855</v>
      </c>
      <c r="H29" s="1002" t="s">
        <v>856</v>
      </c>
      <c r="I29" s="1212">
        <v>8</v>
      </c>
      <c r="J29" s="1212" t="s">
        <v>502</v>
      </c>
      <c r="K29" s="1212">
        <v>20</v>
      </c>
      <c r="L29" s="944">
        <v>1150</v>
      </c>
      <c r="M29" s="986" t="s">
        <v>502</v>
      </c>
      <c r="N29" s="983">
        <f t="shared" si="8"/>
        <v>9200</v>
      </c>
      <c r="O29" s="781">
        <f t="shared" si="10"/>
        <v>1150</v>
      </c>
      <c r="P29" s="1212">
        <f t="shared" si="9"/>
        <v>8</v>
      </c>
      <c r="Q29" s="986" t="s">
        <v>854</v>
      </c>
    </row>
    <row r="30" spans="1:18" s="924" customFormat="1" ht="14.45" x14ac:dyDescent="0.3">
      <c r="C30" s="884"/>
      <c r="D30" s="977">
        <v>8</v>
      </c>
      <c r="E30" s="907" t="s">
        <v>850</v>
      </c>
      <c r="F30" s="1002" t="s">
        <v>819</v>
      </c>
      <c r="G30" s="1002"/>
      <c r="H30" s="1002"/>
      <c r="I30" s="1212">
        <v>1</v>
      </c>
      <c r="J30" s="1212"/>
      <c r="K30" s="1212"/>
      <c r="L30" s="944"/>
      <c r="M30" s="986"/>
      <c r="N30" s="983">
        <f>2734*E19</f>
        <v>3345.8041958041958</v>
      </c>
      <c r="O30" s="983">
        <f t="shared" si="10"/>
        <v>3345.8041958041958</v>
      </c>
      <c r="P30" s="1212">
        <f t="shared" si="9"/>
        <v>1</v>
      </c>
      <c r="Q30" s="986"/>
    </row>
    <row r="31" spans="1:18" s="924" customFormat="1" ht="14.45" x14ac:dyDescent="0.3">
      <c r="C31" s="884"/>
      <c r="D31" s="977">
        <v>9</v>
      </c>
      <c r="E31" s="907" t="s">
        <v>289</v>
      </c>
      <c r="F31" s="1002" t="s">
        <v>819</v>
      </c>
      <c r="G31" s="1002"/>
      <c r="H31" s="1002"/>
      <c r="I31" s="1212">
        <v>1</v>
      </c>
      <c r="J31" s="1212"/>
      <c r="K31" s="1212"/>
      <c r="L31" s="944"/>
      <c r="M31" s="986"/>
      <c r="N31" s="983">
        <f>2008*E19</f>
        <v>2457.3426573426573</v>
      </c>
      <c r="O31" s="983">
        <f t="shared" si="10"/>
        <v>2457.3426573426573</v>
      </c>
      <c r="P31" s="1212">
        <f t="shared" si="9"/>
        <v>1</v>
      </c>
      <c r="Q31" s="986"/>
    </row>
    <row r="32" spans="1:18" s="924" customFormat="1" ht="14.45" x14ac:dyDescent="0.3">
      <c r="C32" s="884"/>
      <c r="D32" s="977">
        <v>10</v>
      </c>
      <c r="E32" s="907" t="s">
        <v>815</v>
      </c>
      <c r="F32" s="1002" t="s">
        <v>819</v>
      </c>
      <c r="G32" s="1002"/>
      <c r="H32" s="1002"/>
      <c r="I32" s="1212">
        <v>1</v>
      </c>
      <c r="J32" s="1212"/>
      <c r="K32" s="1212"/>
      <c r="L32" s="944"/>
      <c r="M32" s="986"/>
      <c r="N32" s="983">
        <f>644*E19</f>
        <v>788.11188811188811</v>
      </c>
      <c r="O32" s="983">
        <f t="shared" si="10"/>
        <v>788.11188811188811</v>
      </c>
      <c r="P32" s="1212">
        <f t="shared" si="9"/>
        <v>1</v>
      </c>
      <c r="Q32" s="986"/>
    </row>
    <row r="33" spans="2:18" s="924" customFormat="1" ht="14.45" x14ac:dyDescent="0.3">
      <c r="C33" s="884"/>
      <c r="D33" s="977">
        <v>11</v>
      </c>
      <c r="E33" s="907" t="s">
        <v>817</v>
      </c>
      <c r="F33" s="1002" t="s">
        <v>819</v>
      </c>
      <c r="G33" s="1002" t="s">
        <v>836</v>
      </c>
      <c r="H33" s="1002" t="s">
        <v>835</v>
      </c>
      <c r="I33" s="1212">
        <v>3</v>
      </c>
      <c r="J33" s="1212" t="s">
        <v>502</v>
      </c>
      <c r="K33" s="1212">
        <v>150</v>
      </c>
      <c r="L33" s="944">
        <v>950</v>
      </c>
      <c r="M33" s="986" t="s">
        <v>828</v>
      </c>
      <c r="N33" s="983">
        <f>L33*I33</f>
        <v>2850</v>
      </c>
      <c r="O33" s="781">
        <f t="shared" si="10"/>
        <v>950</v>
      </c>
      <c r="P33" s="1212">
        <f t="shared" si="9"/>
        <v>3</v>
      </c>
      <c r="Q33" s="986" t="s">
        <v>837</v>
      </c>
    </row>
    <row r="34" spans="2:18" s="924" customFormat="1" ht="14.45" x14ac:dyDescent="0.3">
      <c r="C34" s="884"/>
      <c r="D34" s="977">
        <v>12</v>
      </c>
      <c r="E34" s="907" t="s">
        <v>818</v>
      </c>
      <c r="F34" s="1002" t="s">
        <v>819</v>
      </c>
      <c r="G34" s="1002" t="s">
        <v>836</v>
      </c>
      <c r="H34" s="1002" t="s">
        <v>838</v>
      </c>
      <c r="I34" s="1212">
        <v>1</v>
      </c>
      <c r="J34" s="1212" t="s">
        <v>502</v>
      </c>
      <c r="K34" s="1212">
        <v>90</v>
      </c>
      <c r="L34" s="944">
        <v>2900</v>
      </c>
      <c r="M34" s="986" t="s">
        <v>502</v>
      </c>
      <c r="N34" s="983">
        <f>L34*I34</f>
        <v>2900</v>
      </c>
      <c r="O34" s="781">
        <f t="shared" si="10"/>
        <v>2900</v>
      </c>
      <c r="P34" s="1212">
        <f t="shared" si="9"/>
        <v>1</v>
      </c>
      <c r="Q34" s="986" t="s">
        <v>837</v>
      </c>
    </row>
    <row r="35" spans="2:18" s="924" customFormat="1" ht="14.45" x14ac:dyDescent="0.3">
      <c r="C35" s="884"/>
      <c r="D35" s="977">
        <v>13</v>
      </c>
      <c r="E35" s="907" t="s">
        <v>294</v>
      </c>
      <c r="F35" s="1002" t="s">
        <v>819</v>
      </c>
      <c r="G35" s="1002" t="s">
        <v>841</v>
      </c>
      <c r="H35" s="1213" t="s">
        <v>502</v>
      </c>
      <c r="I35" s="1212">
        <v>1</v>
      </c>
      <c r="J35" s="1212" t="s">
        <v>502</v>
      </c>
      <c r="K35" s="1212">
        <f>10300/2.204</f>
        <v>4673.3212341197823</v>
      </c>
      <c r="L35" s="944">
        <v>15.5</v>
      </c>
      <c r="M35" s="986" t="s">
        <v>826</v>
      </c>
      <c r="N35" s="983">
        <f>L35*K35</f>
        <v>72436.479128856619</v>
      </c>
      <c r="O35" s="781">
        <f t="shared" si="10"/>
        <v>72436.479128856619</v>
      </c>
      <c r="P35" s="1212">
        <f t="shared" si="9"/>
        <v>1</v>
      </c>
      <c r="Q35" s="986" t="s">
        <v>840</v>
      </c>
    </row>
    <row r="36" spans="2:18" s="924" customFormat="1" ht="14.45" x14ac:dyDescent="0.3">
      <c r="C36" s="884"/>
      <c r="D36" s="956">
        <v>14</v>
      </c>
      <c r="E36" s="907" t="s">
        <v>893</v>
      </c>
      <c r="F36" s="1002" t="s">
        <v>819</v>
      </c>
      <c r="G36" s="1002"/>
      <c r="H36" s="1002"/>
      <c r="I36" s="1212">
        <v>1</v>
      </c>
      <c r="J36" s="1212"/>
      <c r="K36" s="1212">
        <v>1000</v>
      </c>
      <c r="L36" s="944"/>
      <c r="M36" s="986"/>
      <c r="N36" s="983">
        <v>42000</v>
      </c>
      <c r="O36" s="781">
        <f t="shared" si="10"/>
        <v>42000</v>
      </c>
      <c r="P36" s="1212"/>
      <c r="Q36" s="986" t="s">
        <v>894</v>
      </c>
    </row>
    <row r="37" spans="2:18" s="924" customFormat="1" ht="14.45" x14ac:dyDescent="0.3">
      <c r="C37" s="884"/>
      <c r="D37" s="977">
        <v>15</v>
      </c>
      <c r="E37" s="907" t="s">
        <v>296</v>
      </c>
      <c r="F37" s="1002" t="s">
        <v>819</v>
      </c>
      <c r="G37" s="1002" t="s">
        <v>502</v>
      </c>
      <c r="H37" s="1002" t="s">
        <v>502</v>
      </c>
      <c r="I37" s="1212">
        <v>500</v>
      </c>
      <c r="J37" s="1212" t="s">
        <v>848</v>
      </c>
      <c r="K37" s="1212"/>
      <c r="L37" s="944">
        <f>ROUNDUP(1700/55,0)</f>
        <v>31</v>
      </c>
      <c r="M37" s="986" t="s">
        <v>847</v>
      </c>
      <c r="N37" s="983">
        <f>L37*I37</f>
        <v>15500</v>
      </c>
      <c r="O37" s="781">
        <f t="shared" si="10"/>
        <v>31</v>
      </c>
      <c r="P37" s="1212"/>
      <c r="Q37" s="986" t="s">
        <v>851</v>
      </c>
    </row>
    <row r="38" spans="2:18" s="924" customFormat="1" ht="14.45" x14ac:dyDescent="0.3">
      <c r="C38" s="884"/>
      <c r="D38" s="977">
        <v>16</v>
      </c>
      <c r="E38" s="907" t="s">
        <v>297</v>
      </c>
      <c r="F38" s="1002" t="s">
        <v>17</v>
      </c>
      <c r="G38" s="1002"/>
      <c r="H38" s="1002"/>
      <c r="I38" s="1212">
        <v>1</v>
      </c>
      <c r="J38" s="1212" t="s">
        <v>502</v>
      </c>
      <c r="K38" s="1212"/>
      <c r="L38" s="944"/>
      <c r="M38" s="986"/>
      <c r="N38" s="983">
        <f>14300*E19</f>
        <v>17500</v>
      </c>
      <c r="O38" s="781">
        <f t="shared" si="10"/>
        <v>17500</v>
      </c>
      <c r="P38" s="1212">
        <f t="shared" si="9"/>
        <v>1</v>
      </c>
      <c r="Q38" s="986"/>
    </row>
    <row r="39" spans="2:18" s="924" customFormat="1" ht="14.45" x14ac:dyDescent="0.3">
      <c r="C39" s="884"/>
      <c r="D39" s="956">
        <v>17</v>
      </c>
      <c r="E39" s="907" t="s">
        <v>38</v>
      </c>
      <c r="F39" s="1002" t="s">
        <v>38</v>
      </c>
      <c r="G39" s="1002" t="s">
        <v>896</v>
      </c>
      <c r="H39" s="1002" t="s">
        <v>895</v>
      </c>
      <c r="I39" s="1212">
        <v>1</v>
      </c>
      <c r="J39" s="1212" t="s">
        <v>502</v>
      </c>
      <c r="K39" s="1212">
        <f>2646/2.204</f>
        <v>1200.5444646098003</v>
      </c>
      <c r="L39" s="944">
        <v>73277</v>
      </c>
      <c r="M39" s="986"/>
      <c r="N39" s="983">
        <f>L39*I39</f>
        <v>73277</v>
      </c>
      <c r="O39" s="781">
        <f t="shared" si="10"/>
        <v>73277</v>
      </c>
      <c r="P39" s="1212">
        <f t="shared" si="9"/>
        <v>1</v>
      </c>
      <c r="Q39" s="986" t="s">
        <v>825</v>
      </c>
    </row>
    <row r="40" spans="2:18" s="924" customFormat="1" ht="14.45" x14ac:dyDescent="0.3">
      <c r="C40" s="884"/>
      <c r="D40" s="977">
        <v>18</v>
      </c>
      <c r="E40" s="907" t="s">
        <v>301</v>
      </c>
      <c r="F40" s="1002" t="s">
        <v>809</v>
      </c>
      <c r="G40" s="1002"/>
      <c r="H40" s="1002"/>
      <c r="I40" s="1212">
        <v>1</v>
      </c>
      <c r="J40" s="1212" t="s">
        <v>502</v>
      </c>
      <c r="K40" s="1212"/>
      <c r="L40" s="944"/>
      <c r="M40" s="986"/>
      <c r="N40" s="983">
        <f>58000*E19</f>
        <v>70979.020979020977</v>
      </c>
      <c r="O40" s="781">
        <f t="shared" si="10"/>
        <v>70979.020979020977</v>
      </c>
      <c r="P40" s="1212"/>
      <c r="Q40" s="986"/>
    </row>
    <row r="41" spans="2:18" s="924" customFormat="1" ht="14.45" x14ac:dyDescent="0.3">
      <c r="C41" s="884"/>
      <c r="D41" s="977">
        <v>19</v>
      </c>
      <c r="E41" s="907" t="s">
        <v>808</v>
      </c>
      <c r="F41" s="1002" t="s">
        <v>808</v>
      </c>
      <c r="G41" s="1002" t="s">
        <v>899</v>
      </c>
      <c r="H41" s="1002" t="s">
        <v>900</v>
      </c>
      <c r="I41" s="1212">
        <v>1</v>
      </c>
      <c r="J41" s="1212" t="s">
        <v>502</v>
      </c>
      <c r="K41" s="1212">
        <v>1590</v>
      </c>
      <c r="L41" s="944"/>
      <c r="M41" s="986"/>
      <c r="N41" s="983">
        <v>17000</v>
      </c>
      <c r="O41" s="781">
        <f t="shared" si="10"/>
        <v>17000</v>
      </c>
      <c r="P41" s="1212">
        <f t="shared" si="9"/>
        <v>1</v>
      </c>
      <c r="Q41" s="986" t="s">
        <v>962</v>
      </c>
      <c r="R41" s="924" t="s">
        <v>901</v>
      </c>
    </row>
    <row r="42" spans="2:18" s="924" customFormat="1" ht="14.45" x14ac:dyDescent="0.3">
      <c r="C42" s="884"/>
      <c r="D42" s="977">
        <v>20</v>
      </c>
      <c r="E42" s="907" t="s">
        <v>443</v>
      </c>
      <c r="F42" s="1002" t="s">
        <v>443</v>
      </c>
      <c r="G42" s="1002"/>
      <c r="H42" s="1002"/>
      <c r="I42" s="1212">
        <v>1</v>
      </c>
      <c r="J42" s="1212" t="s">
        <v>502</v>
      </c>
      <c r="K42" s="1212"/>
      <c r="L42" s="944"/>
      <c r="M42" s="986"/>
      <c r="N42" s="983">
        <v>5000</v>
      </c>
      <c r="O42" s="781">
        <f t="shared" si="10"/>
        <v>5000</v>
      </c>
      <c r="P42" s="1212">
        <f t="shared" si="9"/>
        <v>1</v>
      </c>
      <c r="Q42" s="986"/>
    </row>
    <row r="43" spans="2:18" s="745" customFormat="1" ht="14.45" x14ac:dyDescent="0.3">
      <c r="B43" s="874"/>
      <c r="C43" s="883"/>
      <c r="D43" s="977">
        <v>21</v>
      </c>
      <c r="E43" s="907" t="s">
        <v>907</v>
      </c>
      <c r="F43" s="1002" t="s">
        <v>810</v>
      </c>
      <c r="G43" s="1212" t="s">
        <v>841</v>
      </c>
      <c r="H43" s="1212"/>
      <c r="I43" s="1212">
        <v>1</v>
      </c>
      <c r="J43" s="944" t="s">
        <v>502</v>
      </c>
      <c r="K43" s="1212">
        <v>6000</v>
      </c>
      <c r="L43" s="944">
        <v>9</v>
      </c>
      <c r="M43" s="986" t="s">
        <v>826</v>
      </c>
      <c r="N43" s="983">
        <f>L43*K43</f>
        <v>54000</v>
      </c>
      <c r="O43" s="781">
        <f t="shared" si="10"/>
        <v>54000</v>
      </c>
      <c r="P43" s="1212">
        <f t="shared" si="9"/>
        <v>1</v>
      </c>
      <c r="Q43" s="986" t="s">
        <v>909</v>
      </c>
    </row>
    <row r="44" spans="2:18" s="923" customFormat="1" ht="14.45" x14ac:dyDescent="0.3">
      <c r="C44" s="883"/>
      <c r="D44" s="977">
        <v>22</v>
      </c>
      <c r="E44" s="907" t="s">
        <v>908</v>
      </c>
      <c r="F44" s="1002" t="s">
        <v>810</v>
      </c>
      <c r="G44" s="1212" t="s">
        <v>841</v>
      </c>
      <c r="H44" s="1212"/>
      <c r="I44" s="1212">
        <v>1</v>
      </c>
      <c r="J44" s="944" t="s">
        <v>502</v>
      </c>
      <c r="K44" s="1212">
        <v>2500</v>
      </c>
      <c r="L44" s="944">
        <v>9</v>
      </c>
      <c r="M44" s="986" t="s">
        <v>826</v>
      </c>
      <c r="N44" s="983">
        <f>L44*K44</f>
        <v>22500</v>
      </c>
      <c r="O44" s="781">
        <f t="shared" ref="O44" si="11">N44/I44</f>
        <v>22500</v>
      </c>
      <c r="P44" s="1212">
        <f t="shared" si="9"/>
        <v>1</v>
      </c>
      <c r="Q44" s="986" t="s">
        <v>909</v>
      </c>
    </row>
    <row r="45" spans="2:18" s="736" customFormat="1" ht="14.45" x14ac:dyDescent="0.3">
      <c r="B45" s="886"/>
      <c r="C45" s="912"/>
      <c r="D45" s="977">
        <v>23</v>
      </c>
      <c r="E45" s="907" t="s">
        <v>852</v>
      </c>
      <c r="F45" s="1002" t="s">
        <v>676</v>
      </c>
      <c r="G45" s="1212"/>
      <c r="H45" s="1212"/>
      <c r="I45" s="1212">
        <v>2</v>
      </c>
      <c r="J45" s="1002" t="s">
        <v>502</v>
      </c>
      <c r="K45" s="1212">
        <v>4300</v>
      </c>
      <c r="L45" s="944">
        <v>7500</v>
      </c>
      <c r="M45" s="986"/>
      <c r="N45" s="983">
        <f>I45*L45</f>
        <v>15000</v>
      </c>
      <c r="O45" s="781">
        <f t="shared" si="10"/>
        <v>7500</v>
      </c>
      <c r="P45" s="1212">
        <f t="shared" si="9"/>
        <v>2</v>
      </c>
      <c r="Q45" s="986" t="s">
        <v>892</v>
      </c>
    </row>
    <row r="46" spans="2:18" s="741" customFormat="1" ht="14.45" x14ac:dyDescent="0.3">
      <c r="B46" s="883"/>
      <c r="C46" s="883"/>
      <c r="D46" s="977">
        <v>24</v>
      </c>
      <c r="E46" s="907" t="s">
        <v>898</v>
      </c>
      <c r="F46" s="1002" t="s">
        <v>810</v>
      </c>
      <c r="G46" s="1212" t="s">
        <v>841</v>
      </c>
      <c r="H46" s="1212"/>
      <c r="I46" s="1212">
        <v>2</v>
      </c>
      <c r="J46" s="1002" t="s">
        <v>502</v>
      </c>
      <c r="K46" s="1212">
        <v>2000</v>
      </c>
      <c r="L46" s="944">
        <v>9</v>
      </c>
      <c r="M46" s="986" t="s">
        <v>826</v>
      </c>
      <c r="N46" s="983">
        <f>L46*K46</f>
        <v>18000</v>
      </c>
      <c r="O46" s="781">
        <f t="shared" si="10"/>
        <v>9000</v>
      </c>
      <c r="P46" s="1212">
        <f t="shared" si="9"/>
        <v>2</v>
      </c>
      <c r="Q46" s="986" t="s">
        <v>909</v>
      </c>
    </row>
    <row r="47" spans="2:18" s="736" customFormat="1" ht="14.45" x14ac:dyDescent="0.3">
      <c r="B47" s="883"/>
      <c r="C47" s="884"/>
      <c r="D47" s="874"/>
      <c r="F47" s="727"/>
      <c r="G47" s="738"/>
      <c r="H47" s="738"/>
      <c r="I47" s="738"/>
      <c r="J47" s="919"/>
      <c r="K47" s="919"/>
      <c r="L47" s="880"/>
      <c r="M47" s="874"/>
      <c r="N47" s="463"/>
      <c r="P47" s="945"/>
    </row>
    <row r="48" spans="2:18" s="736" customFormat="1" ht="14.45" x14ac:dyDescent="0.3">
      <c r="B48" s="883"/>
      <c r="C48" s="884"/>
      <c r="D48" s="874"/>
      <c r="F48" s="727"/>
      <c r="G48" s="738"/>
      <c r="H48" s="738"/>
      <c r="I48" s="738"/>
      <c r="J48" s="919"/>
      <c r="K48" s="919"/>
      <c r="L48" s="880"/>
      <c r="M48" s="874"/>
      <c r="N48" s="463"/>
      <c r="P48" s="945"/>
    </row>
    <row r="49" spans="2:17" s="736" customFormat="1" ht="14.45" x14ac:dyDescent="0.3">
      <c r="B49" s="883"/>
      <c r="C49" s="884"/>
      <c r="D49" s="874"/>
      <c r="F49" s="727"/>
      <c r="G49" s="738"/>
      <c r="H49" s="738"/>
      <c r="I49" s="738"/>
      <c r="J49" s="919"/>
      <c r="K49" s="919"/>
      <c r="L49" s="880"/>
      <c r="M49" s="874"/>
      <c r="N49" s="884"/>
      <c r="P49" s="945"/>
    </row>
    <row r="50" spans="2:17" s="736" customFormat="1" ht="14.45" x14ac:dyDescent="0.3">
      <c r="B50" s="883"/>
      <c r="C50" s="884"/>
      <c r="D50" s="874"/>
      <c r="E50" s="913"/>
      <c r="F50" s="727"/>
      <c r="G50" s="738"/>
      <c r="H50" s="738"/>
      <c r="I50" s="738"/>
      <c r="J50" s="919"/>
      <c r="K50" s="919"/>
      <c r="L50" s="880"/>
      <c r="M50" s="874"/>
      <c r="N50" s="884"/>
      <c r="P50" s="945"/>
    </row>
    <row r="51" spans="2:17" s="736" customFormat="1" ht="14.45" x14ac:dyDescent="0.3">
      <c r="B51" s="883"/>
      <c r="C51" s="884"/>
      <c r="D51" s="874"/>
      <c r="E51" s="913"/>
      <c r="F51" s="727"/>
      <c r="G51" s="738"/>
      <c r="H51" s="738"/>
      <c r="I51" s="738"/>
      <c r="J51" s="919"/>
      <c r="K51" s="919"/>
      <c r="L51" s="880"/>
      <c r="M51" s="874"/>
      <c r="N51" s="884"/>
      <c r="P51" s="945"/>
    </row>
    <row r="52" spans="2:17" s="736" customFormat="1" ht="14.45" x14ac:dyDescent="0.3">
      <c r="B52" s="883"/>
      <c r="C52" s="884"/>
      <c r="D52" s="874"/>
      <c r="E52" s="732"/>
      <c r="F52" s="727"/>
      <c r="G52" s="738"/>
      <c r="H52" s="738"/>
      <c r="I52" s="738"/>
      <c r="J52" s="919"/>
      <c r="K52" s="919"/>
      <c r="L52" s="880"/>
      <c r="M52" s="874"/>
      <c r="N52" s="884"/>
      <c r="P52" s="945"/>
    </row>
    <row r="53" spans="2:17" s="736" customFormat="1" x14ac:dyDescent="0.25">
      <c r="B53" s="883"/>
      <c r="C53" s="884"/>
      <c r="D53" s="874"/>
      <c r="E53" s="732"/>
      <c r="F53" s="727"/>
      <c r="G53" s="738"/>
      <c r="H53" s="738"/>
      <c r="I53" s="738"/>
      <c r="J53" s="919"/>
      <c r="K53" s="919"/>
      <c r="L53" s="880"/>
      <c r="M53" s="874"/>
      <c r="N53" s="884"/>
      <c r="P53" s="945"/>
    </row>
    <row r="54" spans="2:17" s="736" customFormat="1" x14ac:dyDescent="0.25">
      <c r="B54" s="883"/>
      <c r="C54" s="884"/>
      <c r="D54" s="874"/>
      <c r="E54" s="913"/>
      <c r="F54" s="727"/>
      <c r="G54" s="738"/>
      <c r="H54" s="738"/>
      <c r="I54" s="738"/>
      <c r="J54" s="919"/>
      <c r="K54" s="919"/>
      <c r="L54" s="880"/>
      <c r="M54" s="874"/>
      <c r="N54" s="884"/>
      <c r="O54" s="874"/>
      <c r="P54" s="945"/>
      <c r="Q54" s="874"/>
    </row>
    <row r="55" spans="2:17" s="745" customFormat="1" x14ac:dyDescent="0.25">
      <c r="B55" s="883"/>
      <c r="C55" s="884"/>
      <c r="D55" s="874"/>
      <c r="E55" s="913"/>
      <c r="F55" s="727"/>
      <c r="G55" s="738"/>
      <c r="H55" s="738"/>
      <c r="I55" s="738"/>
      <c r="J55" s="919"/>
      <c r="K55" s="919"/>
      <c r="L55" s="874"/>
      <c r="M55" s="874"/>
      <c r="N55" s="884"/>
      <c r="O55" s="874"/>
      <c r="P55" s="945"/>
      <c r="Q55" s="874"/>
    </row>
    <row r="56" spans="2:17" s="736" customFormat="1" x14ac:dyDescent="0.25">
      <c r="B56" s="886"/>
      <c r="C56" s="874"/>
      <c r="D56" s="874"/>
      <c r="E56" s="904"/>
      <c r="F56" s="905"/>
      <c r="G56" s="905"/>
      <c r="H56" s="905"/>
      <c r="I56" s="905"/>
      <c r="J56" s="905"/>
      <c r="K56" s="883"/>
      <c r="L56" s="874"/>
      <c r="M56" s="874"/>
      <c r="N56" s="884"/>
      <c r="O56" s="874"/>
      <c r="P56" s="945"/>
      <c r="Q56" s="874"/>
    </row>
    <row r="57" spans="2:17" s="745" customFormat="1" x14ac:dyDescent="0.25">
      <c r="B57" s="883"/>
      <c r="C57" s="874"/>
      <c r="D57" s="874"/>
      <c r="E57" s="904"/>
      <c r="F57" s="905"/>
      <c r="G57" s="905"/>
      <c r="H57" s="905"/>
      <c r="I57" s="905"/>
      <c r="J57" s="905"/>
      <c r="K57" s="883"/>
      <c r="L57" s="902"/>
      <c r="M57" s="874"/>
      <c r="N57" s="884"/>
      <c r="O57" s="874"/>
      <c r="P57" s="945"/>
      <c r="Q57" s="874"/>
    </row>
    <row r="58" spans="2:17" s="736" customFormat="1" x14ac:dyDescent="0.25">
      <c r="B58" s="883"/>
      <c r="C58" s="883"/>
      <c r="D58" s="883"/>
      <c r="E58" s="904"/>
      <c r="F58" s="905"/>
      <c r="G58" s="910"/>
      <c r="H58" s="910"/>
      <c r="I58" s="884"/>
      <c r="J58" s="919"/>
      <c r="K58" s="919"/>
      <c r="L58" s="880"/>
      <c r="M58" s="874"/>
      <c r="N58" s="884"/>
      <c r="O58" s="874"/>
      <c r="P58" s="945"/>
      <c r="Q58" s="874"/>
    </row>
    <row r="59" spans="2:17" s="736" customFormat="1" x14ac:dyDescent="0.25">
      <c r="B59" s="883"/>
      <c r="C59" s="874"/>
      <c r="D59" s="874"/>
      <c r="E59" s="904"/>
      <c r="F59" s="905"/>
      <c r="G59" s="738"/>
      <c r="H59" s="738"/>
      <c r="I59" s="738"/>
      <c r="J59" s="919"/>
      <c r="K59" s="919"/>
      <c r="L59" s="880"/>
      <c r="M59" s="874"/>
      <c r="N59" s="884"/>
      <c r="O59" s="874"/>
      <c r="P59" s="945"/>
      <c r="Q59" s="874"/>
    </row>
    <row r="60" spans="2:17" s="745" customFormat="1" x14ac:dyDescent="0.25">
      <c r="B60" s="883"/>
      <c r="C60" s="874"/>
      <c r="D60" s="874"/>
      <c r="E60" s="904"/>
      <c r="F60" s="905"/>
      <c r="G60" s="905"/>
      <c r="H60" s="905"/>
      <c r="I60" s="905"/>
      <c r="J60" s="905"/>
      <c r="K60" s="883"/>
      <c r="L60" s="880"/>
      <c r="M60" s="874"/>
      <c r="N60" s="884"/>
      <c r="O60" s="874"/>
      <c r="P60" s="945"/>
      <c r="Q60" s="874"/>
    </row>
    <row r="61" spans="2:17" s="736" customFormat="1" x14ac:dyDescent="0.25">
      <c r="B61" s="883"/>
      <c r="C61" s="874"/>
      <c r="D61" s="874"/>
      <c r="E61" s="874"/>
      <c r="F61" s="874"/>
      <c r="G61" s="874"/>
      <c r="H61" s="874"/>
      <c r="I61" s="874"/>
      <c r="J61" s="874"/>
      <c r="K61" s="874"/>
      <c r="L61" s="874"/>
      <c r="M61" s="874"/>
      <c r="N61" s="884"/>
      <c r="O61" s="874"/>
      <c r="P61" s="945"/>
      <c r="Q61" s="874"/>
    </row>
    <row r="62" spans="2:17" s="745" customFormat="1" x14ac:dyDescent="0.25">
      <c r="B62" s="883"/>
      <c r="C62" s="874"/>
      <c r="D62" s="874"/>
      <c r="E62" s="904"/>
      <c r="F62" s="905"/>
      <c r="G62" s="905"/>
      <c r="H62" s="905"/>
      <c r="I62" s="905"/>
      <c r="J62" s="905"/>
      <c r="K62" s="883"/>
      <c r="L62" s="902"/>
      <c r="M62" s="874"/>
      <c r="N62" s="884"/>
      <c r="O62" s="874"/>
      <c r="P62" s="945"/>
      <c r="Q62" s="874"/>
    </row>
    <row r="63" spans="2:17" s="736" customFormat="1" x14ac:dyDescent="0.25">
      <c r="B63" s="874"/>
      <c r="C63" s="874"/>
      <c r="D63" s="874"/>
      <c r="E63" s="884"/>
      <c r="F63" s="727"/>
      <c r="G63" s="738"/>
      <c r="H63" s="738"/>
      <c r="I63" s="738"/>
      <c r="J63" s="919"/>
      <c r="K63" s="919"/>
      <c r="L63" s="880"/>
      <c r="M63" s="874"/>
      <c r="N63" s="884"/>
      <c r="O63" s="874"/>
      <c r="P63" s="945"/>
      <c r="Q63" s="874"/>
    </row>
    <row r="64" spans="2:17" s="736" customFormat="1" x14ac:dyDescent="0.25">
      <c r="B64" s="874"/>
      <c r="C64" s="884"/>
      <c r="D64" s="884"/>
      <c r="E64" s="884"/>
      <c r="F64" s="727"/>
      <c r="G64" s="738"/>
      <c r="H64" s="738"/>
      <c r="I64" s="738"/>
      <c r="J64" s="919"/>
      <c r="K64" s="919"/>
      <c r="L64" s="884"/>
      <c r="M64" s="884"/>
      <c r="N64" s="884"/>
      <c r="O64" s="884"/>
      <c r="P64" s="951"/>
      <c r="Q64" s="884"/>
    </row>
    <row r="65" spans="2:17" s="745" customFormat="1" x14ac:dyDescent="0.25">
      <c r="B65" s="874"/>
      <c r="C65" s="884"/>
      <c r="D65" s="884"/>
      <c r="E65" s="884"/>
      <c r="F65" s="727"/>
      <c r="G65" s="738"/>
      <c r="H65" s="738"/>
      <c r="I65" s="738"/>
      <c r="J65" s="919"/>
      <c r="K65" s="919"/>
      <c r="L65" s="884"/>
      <c r="M65" s="884"/>
      <c r="N65" s="884"/>
      <c r="O65" s="884"/>
      <c r="P65" s="951"/>
      <c r="Q65" s="884"/>
    </row>
    <row r="66" spans="2:17" s="736" customFormat="1" x14ac:dyDescent="0.25">
      <c r="B66" s="883"/>
      <c r="C66" s="884"/>
      <c r="D66" s="884"/>
      <c r="E66" s="884"/>
      <c r="F66" s="727"/>
      <c r="G66" s="738"/>
      <c r="H66" s="738"/>
      <c r="I66" s="738"/>
      <c r="J66" s="919"/>
      <c r="K66" s="919"/>
      <c r="L66" s="880"/>
      <c r="M66" s="884"/>
      <c r="N66" s="884"/>
      <c r="O66" s="884"/>
      <c r="P66" s="951"/>
      <c r="Q66" s="884"/>
    </row>
    <row r="67" spans="2:17" s="736" customFormat="1" x14ac:dyDescent="0.25">
      <c r="B67" s="883"/>
      <c r="C67" s="884"/>
      <c r="D67" s="884"/>
      <c r="E67" s="884"/>
      <c r="F67" s="727"/>
      <c r="G67" s="738"/>
      <c r="H67" s="738"/>
      <c r="I67" s="738"/>
      <c r="J67" s="919"/>
      <c r="K67" s="919"/>
      <c r="L67" s="880"/>
      <c r="M67" s="884"/>
      <c r="N67" s="884"/>
      <c r="O67" s="884"/>
      <c r="P67" s="951"/>
      <c r="Q67" s="884"/>
    </row>
    <row r="68" spans="2:17" s="736" customFormat="1" x14ac:dyDescent="0.25">
      <c r="B68" s="883"/>
      <c r="C68" s="884"/>
      <c r="D68" s="884"/>
      <c r="E68" s="884"/>
      <c r="F68" s="727"/>
      <c r="G68" s="738"/>
      <c r="H68" s="738"/>
      <c r="I68" s="738"/>
      <c r="J68" s="919"/>
      <c r="K68" s="919"/>
      <c r="L68" s="880"/>
      <c r="M68" s="884"/>
      <c r="N68" s="884"/>
      <c r="O68" s="884"/>
      <c r="P68" s="951"/>
      <c r="Q68" s="884"/>
    </row>
    <row r="69" spans="2:17" s="736" customFormat="1" x14ac:dyDescent="0.25">
      <c r="B69" s="883"/>
      <c r="C69" s="884"/>
      <c r="D69" s="884"/>
      <c r="E69" s="884"/>
      <c r="F69" s="727"/>
      <c r="G69" s="738"/>
      <c r="H69" s="738"/>
      <c r="I69" s="738"/>
      <c r="J69" s="919"/>
      <c r="K69" s="919"/>
      <c r="L69" s="880"/>
      <c r="M69" s="884"/>
      <c r="N69" s="884"/>
      <c r="O69" s="884"/>
      <c r="P69" s="951"/>
      <c r="Q69" s="884"/>
    </row>
    <row r="70" spans="2:17" s="736" customFormat="1" x14ac:dyDescent="0.25">
      <c r="B70" s="884"/>
      <c r="C70" s="884"/>
      <c r="D70" s="884"/>
      <c r="E70" s="884"/>
      <c r="F70" s="910"/>
      <c r="G70" s="910"/>
      <c r="H70" s="910"/>
      <c r="I70" s="884"/>
      <c r="J70" s="717"/>
      <c r="K70" s="749"/>
      <c r="L70" s="884"/>
      <c r="M70" s="884"/>
      <c r="N70" s="884"/>
      <c r="O70" s="884"/>
      <c r="P70" s="951"/>
      <c r="Q70" s="884"/>
    </row>
    <row r="71" spans="2:17" s="736" customFormat="1" x14ac:dyDescent="0.25">
      <c r="B71" s="884"/>
      <c r="C71" s="884"/>
      <c r="D71" s="884"/>
      <c r="E71" s="884"/>
      <c r="F71" s="910"/>
      <c r="G71" s="910"/>
      <c r="H71" s="910"/>
      <c r="I71" s="884"/>
      <c r="J71" s="717"/>
      <c r="K71" s="749"/>
      <c r="L71" s="884"/>
      <c r="M71" s="884"/>
      <c r="N71" s="884"/>
      <c r="O71" s="884"/>
      <c r="P71" s="951"/>
      <c r="Q71" s="884"/>
    </row>
    <row r="72" spans="2:17" s="736" customFormat="1" x14ac:dyDescent="0.25">
      <c r="B72" s="884"/>
      <c r="C72" s="884"/>
      <c r="D72" s="884"/>
      <c r="E72" s="884"/>
      <c r="F72" s="910"/>
      <c r="G72" s="910"/>
      <c r="H72" s="910"/>
      <c r="I72" s="884"/>
      <c r="J72" s="717"/>
      <c r="K72" s="720"/>
      <c r="L72" s="750"/>
      <c r="M72" s="884"/>
      <c r="N72" s="884"/>
      <c r="O72" s="884"/>
      <c r="P72" s="951"/>
      <c r="Q72" s="884"/>
    </row>
    <row r="73" spans="2:17" s="736" customFormat="1" x14ac:dyDescent="0.25">
      <c r="B73" s="884"/>
      <c r="C73" s="884"/>
      <c r="D73" s="884"/>
      <c r="E73" s="884"/>
      <c r="F73" s="910"/>
      <c r="G73" s="910"/>
      <c r="H73" s="910"/>
      <c r="I73" s="884"/>
      <c r="J73" s="717"/>
      <c r="K73" s="749"/>
      <c r="L73" s="884"/>
      <c r="M73" s="884"/>
      <c r="N73" s="884"/>
      <c r="O73" s="884"/>
      <c r="P73" s="951"/>
      <c r="Q73" s="884"/>
    </row>
    <row r="74" spans="2:17" s="736" customFormat="1" x14ac:dyDescent="0.25">
      <c r="B74" s="884"/>
      <c r="C74" s="884"/>
      <c r="D74" s="884"/>
      <c r="E74" s="884"/>
      <c r="F74" s="910"/>
      <c r="G74" s="910"/>
      <c r="H74" s="910"/>
      <c r="I74" s="884"/>
      <c r="J74" s="717"/>
      <c r="K74" s="719"/>
      <c r="L74" s="884"/>
      <c r="M74" s="884"/>
      <c r="N74" s="884"/>
      <c r="O74" s="884"/>
      <c r="P74" s="951"/>
      <c r="Q74" s="884"/>
    </row>
    <row r="75" spans="2:17" s="736" customFormat="1" x14ac:dyDescent="0.25">
      <c r="B75" s="884"/>
      <c r="C75" s="884"/>
      <c r="D75" s="884"/>
      <c r="E75" s="884"/>
      <c r="F75" s="910"/>
      <c r="G75" s="910"/>
      <c r="H75" s="910"/>
      <c r="I75" s="884"/>
      <c r="J75" s="717"/>
      <c r="K75" s="718"/>
      <c r="L75" s="884"/>
      <c r="M75" s="884"/>
      <c r="N75" s="884"/>
      <c r="O75" s="884"/>
      <c r="P75" s="951"/>
      <c r="Q75" s="884"/>
    </row>
    <row r="76" spans="2:17" s="736" customFormat="1" x14ac:dyDescent="0.25">
      <c r="B76" s="884"/>
      <c r="C76" s="884"/>
      <c r="D76" s="884"/>
      <c r="E76" s="884"/>
      <c r="F76" s="910"/>
      <c r="G76" s="910"/>
      <c r="H76" s="910"/>
      <c r="I76" s="884"/>
      <c r="J76" s="717"/>
      <c r="K76" s="718"/>
      <c r="L76" s="884"/>
      <c r="M76" s="884"/>
      <c r="N76" s="884"/>
      <c r="O76" s="884"/>
      <c r="P76" s="951"/>
      <c r="Q76" s="884"/>
    </row>
    <row r="77" spans="2:17" s="736" customFormat="1" x14ac:dyDescent="0.25">
      <c r="B77" s="884"/>
      <c r="C77" s="884"/>
      <c r="D77" s="884"/>
      <c r="E77" s="884"/>
      <c r="F77" s="910"/>
      <c r="G77" s="910"/>
      <c r="H77" s="910"/>
      <c r="I77" s="884"/>
      <c r="J77" s="717"/>
      <c r="K77" s="718"/>
      <c r="L77" s="884"/>
      <c r="M77" s="884"/>
      <c r="N77" s="884"/>
      <c r="O77" s="884"/>
      <c r="P77" s="951"/>
      <c r="Q77" s="884"/>
    </row>
    <row r="78" spans="2:17" s="736" customFormat="1" x14ac:dyDescent="0.25">
      <c r="B78" s="884"/>
      <c r="C78" s="884"/>
      <c r="D78" s="884"/>
      <c r="E78" s="884"/>
      <c r="F78" s="910"/>
      <c r="G78" s="910"/>
      <c r="H78" s="910"/>
      <c r="I78" s="884"/>
      <c r="J78" s="717"/>
      <c r="K78" s="718"/>
      <c r="L78" s="884"/>
      <c r="M78" s="884"/>
      <c r="N78" s="884"/>
      <c r="O78" s="884"/>
      <c r="P78" s="951"/>
      <c r="Q78" s="884"/>
    </row>
    <row r="79" spans="2:17" s="736" customFormat="1" x14ac:dyDescent="0.25">
      <c r="B79" s="884"/>
      <c r="C79" s="884"/>
      <c r="D79" s="884"/>
      <c r="E79" s="884"/>
      <c r="F79" s="910"/>
      <c r="G79" s="910"/>
      <c r="H79" s="910"/>
      <c r="I79" s="884"/>
      <c r="J79" s="717"/>
      <c r="K79" s="718"/>
      <c r="L79" s="884"/>
      <c r="M79" s="884"/>
      <c r="N79" s="884"/>
      <c r="O79" s="884"/>
      <c r="P79" s="951"/>
      <c r="Q79" s="884"/>
    </row>
    <row r="80" spans="2:17" s="736" customFormat="1" x14ac:dyDescent="0.25">
      <c r="B80" s="884"/>
      <c r="C80" s="884"/>
      <c r="D80" s="884"/>
      <c r="E80" s="907"/>
      <c r="F80" s="902"/>
      <c r="G80" s="902"/>
      <c r="H80" s="902"/>
      <c r="I80" s="902"/>
      <c r="J80" s="902"/>
      <c r="K80" s="884"/>
      <c r="L80" s="884"/>
      <c r="M80" s="884"/>
      <c r="N80" s="884"/>
      <c r="O80" s="884"/>
      <c r="P80" s="951"/>
      <c r="Q80" s="884"/>
    </row>
    <row r="81" spans="2:21" s="736" customFormat="1" x14ac:dyDescent="0.25">
      <c r="B81" s="883"/>
      <c r="C81" s="883"/>
      <c r="D81" s="883"/>
      <c r="E81" s="904"/>
      <c r="F81" s="905"/>
      <c r="G81" s="905"/>
      <c r="H81" s="905"/>
      <c r="I81" s="905"/>
      <c r="J81" s="905"/>
      <c r="K81" s="883"/>
      <c r="L81" s="874"/>
      <c r="M81" s="874"/>
      <c r="N81" s="884"/>
      <c r="O81" s="883"/>
      <c r="P81" s="950"/>
      <c r="Q81" s="874"/>
    </row>
    <row r="82" spans="2:21" s="736" customFormat="1" x14ac:dyDescent="0.25">
      <c r="B82" s="883"/>
      <c r="C82" s="883"/>
      <c r="D82" s="883"/>
      <c r="E82" s="904"/>
      <c r="F82" s="905"/>
      <c r="G82" s="905"/>
      <c r="H82" s="905"/>
      <c r="I82" s="905"/>
      <c r="J82" s="905"/>
      <c r="K82" s="883"/>
      <c r="L82" s="874"/>
      <c r="M82" s="874"/>
      <c r="N82" s="884"/>
      <c r="O82" s="883"/>
      <c r="P82" s="950"/>
      <c r="Q82" s="874"/>
    </row>
    <row r="83" spans="2:21" s="736" customFormat="1" x14ac:dyDescent="0.25">
      <c r="B83" s="883"/>
      <c r="C83" s="883"/>
      <c r="D83" s="883"/>
      <c r="E83" s="904"/>
      <c r="F83" s="905"/>
      <c r="G83" s="905"/>
      <c r="H83" s="905"/>
      <c r="I83" s="905"/>
      <c r="J83" s="905"/>
      <c r="K83" s="883"/>
      <c r="L83" s="874"/>
      <c r="M83" s="874"/>
      <c r="N83" s="884"/>
      <c r="O83" s="883"/>
      <c r="P83" s="950"/>
      <c r="Q83" s="874"/>
    </row>
    <row r="84" spans="2:21" s="736" customFormat="1" x14ac:dyDescent="0.25">
      <c r="B84" s="883"/>
      <c r="C84" s="883"/>
      <c r="D84" s="883"/>
      <c r="E84" s="904"/>
      <c r="F84" s="905"/>
      <c r="G84" s="905"/>
      <c r="H84" s="905"/>
      <c r="I84" s="905"/>
      <c r="J84" s="905"/>
      <c r="K84" s="883"/>
      <c r="L84" s="874"/>
      <c r="M84" s="874"/>
      <c r="N84" s="884"/>
      <c r="O84" s="883"/>
      <c r="P84" s="950"/>
      <c r="Q84" s="874"/>
    </row>
    <row r="85" spans="2:21" s="736" customFormat="1" x14ac:dyDescent="0.25">
      <c r="B85" s="883"/>
      <c r="C85" s="883"/>
      <c r="D85" s="883"/>
      <c r="E85" s="904"/>
      <c r="F85" s="905"/>
      <c r="G85" s="905"/>
      <c r="H85" s="905"/>
      <c r="I85" s="905"/>
      <c r="J85" s="905"/>
      <c r="K85" s="883"/>
      <c r="L85" s="874"/>
      <c r="M85" s="874"/>
      <c r="N85" s="884"/>
      <c r="O85" s="883"/>
      <c r="P85" s="950"/>
      <c r="Q85" s="874"/>
    </row>
    <row r="86" spans="2:21" s="736" customFormat="1" x14ac:dyDescent="0.25">
      <c r="B86" s="883"/>
      <c r="C86" s="883"/>
      <c r="D86" s="883"/>
      <c r="E86" s="904"/>
      <c r="F86" s="905"/>
      <c r="G86" s="905"/>
      <c r="H86" s="905"/>
      <c r="I86" s="905"/>
      <c r="J86" s="905"/>
      <c r="K86" s="883"/>
      <c r="L86" s="874"/>
      <c r="M86" s="874"/>
      <c r="N86" s="884"/>
      <c r="O86" s="883"/>
      <c r="P86" s="950"/>
      <c r="Q86" s="874"/>
      <c r="R86" s="874"/>
      <c r="S86" s="874"/>
      <c r="T86" s="874"/>
      <c r="U86" s="874"/>
    </row>
    <row r="87" spans="2:21" s="736" customFormat="1" x14ac:dyDescent="0.25">
      <c r="B87" s="883"/>
      <c r="C87" s="883"/>
      <c r="D87" s="883"/>
      <c r="E87" s="904"/>
      <c r="F87" s="905"/>
      <c r="G87" s="905"/>
      <c r="H87" s="905"/>
      <c r="I87" s="905"/>
      <c r="J87" s="905"/>
      <c r="K87" s="883"/>
      <c r="L87" s="874"/>
      <c r="M87" s="874"/>
      <c r="N87" s="884"/>
      <c r="O87" s="883"/>
      <c r="P87" s="950"/>
      <c r="Q87" s="874"/>
      <c r="R87" s="874"/>
      <c r="S87" s="874"/>
      <c r="T87" s="874"/>
      <c r="U87" s="874"/>
    </row>
    <row r="88" spans="2:21" s="736" customFormat="1" x14ac:dyDescent="0.25">
      <c r="B88" s="883"/>
      <c r="C88" s="883"/>
      <c r="D88" s="883"/>
      <c r="E88" s="904"/>
      <c r="F88" s="905"/>
      <c r="G88" s="905"/>
      <c r="H88" s="905"/>
      <c r="I88" s="905"/>
      <c r="J88" s="905"/>
      <c r="K88" s="883"/>
      <c r="L88" s="874"/>
      <c r="M88" s="874"/>
      <c r="N88" s="884"/>
      <c r="O88" s="883"/>
      <c r="P88" s="950"/>
      <c r="Q88" s="874"/>
      <c r="R88" s="874"/>
      <c r="S88" s="874"/>
      <c r="T88" s="874"/>
      <c r="U88" s="874"/>
    </row>
    <row r="89" spans="2:21" s="736" customFormat="1" x14ac:dyDescent="0.25">
      <c r="B89" s="883"/>
      <c r="C89" s="883"/>
      <c r="D89" s="883"/>
      <c r="E89" s="904"/>
      <c r="F89" s="905"/>
      <c r="G89" s="905"/>
      <c r="H89" s="905"/>
      <c r="I89" s="905"/>
      <c r="J89" s="905"/>
      <c r="K89" s="883"/>
      <c r="L89" s="874"/>
      <c r="M89" s="874"/>
      <c r="N89" s="884"/>
      <c r="O89" s="883"/>
      <c r="P89" s="950"/>
      <c r="Q89" s="874"/>
      <c r="R89" s="874"/>
      <c r="S89" s="874"/>
      <c r="T89" s="874"/>
      <c r="U89" s="874"/>
    </row>
    <row r="90" spans="2:21" s="736" customFormat="1" x14ac:dyDescent="0.25">
      <c r="B90" s="883"/>
      <c r="C90" s="883"/>
      <c r="D90" s="883"/>
      <c r="E90" s="904"/>
      <c r="F90" s="905"/>
      <c r="G90" s="905"/>
      <c r="H90" s="905"/>
      <c r="I90" s="905"/>
      <c r="J90" s="905"/>
      <c r="K90" s="883"/>
      <c r="L90" s="874"/>
      <c r="M90" s="874"/>
      <c r="N90" s="884"/>
      <c r="O90" s="883"/>
      <c r="P90" s="950"/>
      <c r="Q90" s="874"/>
      <c r="R90" s="874"/>
      <c r="S90" s="874"/>
      <c r="T90" s="874"/>
      <c r="U90" s="874"/>
    </row>
    <row r="91" spans="2:21" x14ac:dyDescent="0.25">
      <c r="B91" s="874"/>
      <c r="C91" s="874"/>
      <c r="D91" s="874"/>
      <c r="E91" s="874"/>
      <c r="F91" s="877"/>
      <c r="G91" s="874"/>
      <c r="H91" s="874"/>
      <c r="I91" s="890"/>
      <c r="J91" s="877"/>
      <c r="K91" s="874"/>
      <c r="L91" s="874"/>
      <c r="M91" s="874"/>
      <c r="N91" s="883"/>
      <c r="O91" s="884"/>
      <c r="P91" s="951"/>
      <c r="Q91" s="884"/>
      <c r="R91" s="884"/>
      <c r="S91" s="884"/>
      <c r="T91" s="884"/>
      <c r="U91" s="884"/>
    </row>
    <row r="92" spans="2:21" s="736" customFormat="1" x14ac:dyDescent="0.25">
      <c r="B92" s="874"/>
      <c r="C92" s="874"/>
      <c r="D92" s="874"/>
      <c r="E92" s="874"/>
      <c r="F92" s="877"/>
      <c r="G92" s="874"/>
      <c r="H92" s="874"/>
      <c r="I92" s="890"/>
      <c r="J92" s="877"/>
      <c r="K92" s="874"/>
      <c r="L92" s="874"/>
      <c r="M92" s="874"/>
      <c r="N92" s="883"/>
      <c r="O92" s="884"/>
      <c r="P92" s="951"/>
      <c r="Q92" s="884"/>
      <c r="R92" s="884"/>
      <c r="S92" s="884"/>
      <c r="T92" s="884"/>
      <c r="U92" s="884"/>
    </row>
    <row r="93" spans="2:21" s="736" customFormat="1" x14ac:dyDescent="0.25">
      <c r="B93" s="874"/>
      <c r="C93" s="874"/>
      <c r="D93" s="874"/>
      <c r="E93" s="874"/>
      <c r="F93" s="877"/>
      <c r="G93" s="874"/>
      <c r="H93" s="874"/>
      <c r="I93" s="890"/>
      <c r="J93" s="877"/>
      <c r="K93" s="874"/>
      <c r="L93" s="874"/>
      <c r="M93" s="874"/>
      <c r="N93" s="883"/>
      <c r="O93" s="884"/>
      <c r="P93" s="951"/>
      <c r="Q93" s="884"/>
      <c r="R93" s="884"/>
      <c r="S93" s="884"/>
      <c r="T93" s="884"/>
      <c r="U93" s="884"/>
    </row>
    <row r="94" spans="2:21" x14ac:dyDescent="0.25">
      <c r="B94" s="874"/>
      <c r="C94" s="874"/>
      <c r="D94" s="874"/>
      <c r="E94" s="874"/>
      <c r="F94" s="874"/>
      <c r="G94" s="874"/>
      <c r="H94" s="874"/>
      <c r="I94" s="874"/>
      <c r="J94" s="887"/>
      <c r="K94" s="874"/>
      <c r="L94" s="874"/>
      <c r="M94" s="874"/>
      <c r="N94" s="883"/>
      <c r="O94" s="884"/>
      <c r="P94" s="951"/>
      <c r="Q94" s="884"/>
      <c r="R94" s="884"/>
      <c r="S94" s="884"/>
      <c r="T94" s="884"/>
      <c r="U94" s="884"/>
    </row>
    <row r="95" spans="2:21" x14ac:dyDescent="0.25">
      <c r="B95" s="874"/>
      <c r="C95" s="874"/>
      <c r="D95" s="874"/>
      <c r="E95" s="874"/>
      <c r="F95" s="874"/>
      <c r="G95" s="874"/>
      <c r="H95" s="874"/>
      <c r="I95" s="874"/>
      <c r="J95" s="874"/>
      <c r="K95" s="874"/>
      <c r="L95" s="874"/>
      <c r="M95" s="874"/>
      <c r="N95" s="883"/>
      <c r="O95" s="884"/>
      <c r="P95" s="951"/>
      <c r="Q95" s="884"/>
      <c r="R95" s="884"/>
      <c r="S95" s="884"/>
      <c r="T95" s="884"/>
      <c r="U95" s="884"/>
    </row>
    <row r="96" spans="2:21" x14ac:dyDescent="0.25">
      <c r="B96" s="874"/>
      <c r="C96" s="874"/>
      <c r="D96" s="874"/>
      <c r="E96" s="874"/>
      <c r="F96" s="874"/>
      <c r="G96" s="874"/>
      <c r="H96" s="874"/>
      <c r="I96" s="874"/>
      <c r="J96" s="874"/>
      <c r="K96" s="874"/>
      <c r="L96" s="874"/>
      <c r="M96" s="874"/>
      <c r="N96" s="883"/>
      <c r="O96" s="884"/>
      <c r="P96" s="951"/>
      <c r="Q96" s="884"/>
      <c r="R96" s="884"/>
      <c r="S96" s="884"/>
      <c r="T96" s="884"/>
      <c r="U96" s="884"/>
    </row>
    <row r="97" spans="2:21" x14ac:dyDescent="0.25">
      <c r="B97" s="879"/>
      <c r="C97" s="879"/>
      <c r="D97" s="874"/>
      <c r="E97" s="874"/>
      <c r="F97" s="874"/>
      <c r="G97" s="874"/>
      <c r="H97" s="881"/>
      <c r="I97" s="874"/>
      <c r="J97" s="874"/>
      <c r="K97" s="874"/>
      <c r="L97" s="874"/>
      <c r="M97" s="874"/>
      <c r="N97" s="883"/>
      <c r="O97" s="884"/>
      <c r="P97" s="951"/>
      <c r="Q97" s="884"/>
      <c r="R97" s="884"/>
      <c r="S97" s="884"/>
      <c r="T97" s="884"/>
      <c r="U97" s="884"/>
    </row>
    <row r="98" spans="2:21" x14ac:dyDescent="0.25">
      <c r="B98" s="874"/>
      <c r="C98" s="874"/>
      <c r="D98" s="874"/>
      <c r="E98" s="874"/>
      <c r="F98" s="874"/>
      <c r="G98" s="874"/>
      <c r="H98" s="874"/>
      <c r="I98" s="874"/>
      <c r="J98" s="874"/>
      <c r="K98" s="874"/>
      <c r="L98" s="874"/>
      <c r="M98" s="874"/>
      <c r="N98" s="883"/>
      <c r="O98" s="884"/>
      <c r="P98" s="951"/>
      <c r="Q98" s="884"/>
      <c r="R98" s="884"/>
      <c r="S98" s="884"/>
      <c r="T98" s="884"/>
      <c r="U98" s="884"/>
    </row>
    <row r="99" spans="2:21" x14ac:dyDescent="0.25">
      <c r="B99" s="874"/>
      <c r="C99" s="874"/>
      <c r="D99" s="874"/>
      <c r="E99" s="879"/>
      <c r="F99" s="879"/>
      <c r="G99" s="879"/>
      <c r="H99" s="879"/>
      <c r="I99" s="879"/>
      <c r="J99" s="879"/>
      <c r="K99" s="879"/>
      <c r="L99" s="879"/>
      <c r="M99" s="879"/>
      <c r="N99" s="883"/>
      <c r="O99" s="884"/>
      <c r="P99" s="951"/>
      <c r="Q99" s="884"/>
      <c r="R99" s="884"/>
      <c r="S99" s="884"/>
      <c r="T99" s="884"/>
      <c r="U99" s="884"/>
    </row>
    <row r="100" spans="2:21" x14ac:dyDescent="0.25">
      <c r="B100" s="874"/>
      <c r="C100" s="874"/>
      <c r="D100" s="874"/>
      <c r="E100" s="882"/>
      <c r="F100" s="874"/>
      <c r="G100" s="878"/>
      <c r="H100" s="915"/>
      <c r="I100" s="878"/>
      <c r="J100" s="891"/>
      <c r="K100" s="891"/>
      <c r="L100" s="874"/>
      <c r="M100" s="874"/>
      <c r="N100" s="680"/>
      <c r="O100" s="884"/>
      <c r="P100" s="951"/>
      <c r="Q100" s="884"/>
      <c r="R100" s="884"/>
      <c r="S100" s="884"/>
      <c r="T100" s="884"/>
      <c r="U100" s="884"/>
    </row>
    <row r="101" spans="2:21" x14ac:dyDescent="0.25">
      <c r="B101" s="874"/>
      <c r="C101" s="874"/>
      <c r="D101" s="874"/>
      <c r="E101" s="882"/>
      <c r="F101" s="874"/>
      <c r="G101" s="878"/>
      <c r="H101" s="915"/>
      <c r="I101" s="878"/>
      <c r="J101" s="891"/>
      <c r="K101" s="891"/>
      <c r="L101" s="874"/>
      <c r="M101" s="874"/>
      <c r="N101" s="883"/>
      <c r="O101" s="884"/>
      <c r="P101" s="951"/>
      <c r="Q101" s="884"/>
      <c r="R101" s="884"/>
      <c r="S101" s="884"/>
      <c r="T101" s="884"/>
      <c r="U101" s="884"/>
    </row>
    <row r="102" spans="2:21" x14ac:dyDescent="0.25">
      <c r="D102" s="874"/>
      <c r="E102" s="882"/>
      <c r="F102" s="874"/>
      <c r="G102" s="878"/>
      <c r="H102" s="915"/>
      <c r="I102" s="878"/>
      <c r="J102" s="891"/>
      <c r="K102" s="891"/>
      <c r="L102" s="874"/>
      <c r="M102" s="874"/>
      <c r="N102" s="883"/>
      <c r="O102" s="884"/>
      <c r="P102" s="951"/>
      <c r="Q102" s="884"/>
      <c r="R102" s="884"/>
      <c r="S102" s="884"/>
      <c r="T102" s="884"/>
      <c r="U102" s="884"/>
    </row>
    <row r="103" spans="2:21" x14ac:dyDescent="0.25">
      <c r="D103" s="874"/>
      <c r="E103" s="882"/>
      <c r="F103" s="874"/>
      <c r="G103" s="878"/>
      <c r="H103" s="915"/>
      <c r="I103" s="878"/>
      <c r="J103" s="891"/>
      <c r="K103" s="891"/>
      <c r="L103" s="874"/>
      <c r="M103" s="874"/>
      <c r="N103" s="874"/>
      <c r="O103" s="884"/>
      <c r="P103" s="951"/>
      <c r="Q103" s="884"/>
      <c r="R103" s="884"/>
      <c r="S103" s="884"/>
      <c r="T103" s="884"/>
      <c r="U103" s="884"/>
    </row>
    <row r="104" spans="2:21" x14ac:dyDescent="0.25">
      <c r="D104" s="874"/>
      <c r="E104" s="882"/>
      <c r="F104" s="874"/>
      <c r="G104" s="878"/>
      <c r="H104" s="915"/>
      <c r="I104" s="878"/>
      <c r="J104" s="891"/>
      <c r="K104" s="891"/>
      <c r="L104" s="874"/>
      <c r="M104" s="874"/>
      <c r="N104" s="874"/>
      <c r="O104" s="884"/>
      <c r="P104" s="951"/>
      <c r="Q104" s="884"/>
      <c r="R104" s="884"/>
      <c r="S104" s="884"/>
      <c r="T104" s="884"/>
      <c r="U104" s="884"/>
    </row>
    <row r="105" spans="2:21" x14ac:dyDescent="0.25">
      <c r="D105" s="874"/>
      <c r="E105" s="882"/>
      <c r="F105" s="874"/>
      <c r="G105" s="878"/>
      <c r="H105" s="915"/>
      <c r="I105" s="878"/>
      <c r="J105" s="891"/>
      <c r="K105" s="891"/>
      <c r="L105" s="874"/>
      <c r="M105" s="874"/>
      <c r="N105" s="874"/>
      <c r="O105" s="874"/>
      <c r="Q105" s="874"/>
      <c r="R105" s="874"/>
      <c r="S105" s="874"/>
      <c r="T105" s="874"/>
      <c r="U105" s="874"/>
    </row>
    <row r="106" spans="2:21" x14ac:dyDescent="0.25">
      <c r="D106" s="874"/>
      <c r="E106" s="882"/>
      <c r="F106" s="874"/>
      <c r="G106" s="878"/>
      <c r="H106" s="915"/>
      <c r="I106" s="878"/>
      <c r="J106" s="891"/>
      <c r="K106" s="891"/>
      <c r="L106" s="874"/>
      <c r="M106" s="874"/>
      <c r="N106" s="874"/>
      <c r="O106" s="874"/>
      <c r="Q106" s="874"/>
      <c r="R106" s="874"/>
      <c r="S106" s="874"/>
      <c r="T106" s="874"/>
      <c r="U106" s="874"/>
    </row>
    <row r="107" spans="2:21" x14ac:dyDescent="0.25">
      <c r="D107" s="874"/>
      <c r="E107" s="882"/>
      <c r="F107" s="874"/>
      <c r="G107" s="878"/>
      <c r="H107" s="915"/>
      <c r="I107" s="878"/>
      <c r="J107" s="891"/>
      <c r="K107" s="891"/>
      <c r="L107" s="874"/>
      <c r="M107" s="874"/>
      <c r="N107" s="874"/>
      <c r="O107" s="874"/>
      <c r="Q107" s="874"/>
      <c r="R107" s="874"/>
      <c r="S107" s="874"/>
      <c r="T107" s="874"/>
      <c r="U107" s="874"/>
    </row>
    <row r="108" spans="2:21" x14ac:dyDescent="0.25">
      <c r="D108" s="874"/>
      <c r="E108" s="882"/>
      <c r="F108" s="874"/>
      <c r="G108" s="878"/>
      <c r="H108" s="915"/>
      <c r="I108" s="878"/>
      <c r="J108" s="891"/>
      <c r="K108" s="891"/>
      <c r="L108" s="874"/>
      <c r="M108" s="874"/>
      <c r="N108" s="874"/>
      <c r="O108" s="874"/>
      <c r="Q108" s="874"/>
      <c r="R108" s="874"/>
      <c r="S108" s="874"/>
      <c r="T108" s="874"/>
      <c r="U108" s="874"/>
    </row>
    <row r="109" spans="2:21" x14ac:dyDescent="0.25">
      <c r="D109" s="874"/>
      <c r="E109" s="882"/>
      <c r="F109" s="874"/>
      <c r="G109" s="878"/>
      <c r="H109" s="915"/>
      <c r="I109" s="878"/>
      <c r="J109" s="891"/>
      <c r="K109" s="891"/>
      <c r="L109" s="874"/>
      <c r="M109" s="874"/>
      <c r="N109" s="874"/>
      <c r="O109" s="874"/>
      <c r="Q109" s="874"/>
      <c r="R109" s="874"/>
      <c r="S109" s="874"/>
      <c r="T109" s="874"/>
      <c r="U109" s="874"/>
    </row>
    <row r="110" spans="2:21" x14ac:dyDescent="0.25">
      <c r="D110" s="874"/>
      <c r="E110" s="882"/>
      <c r="F110" s="874"/>
      <c r="G110" s="878"/>
      <c r="H110" s="915"/>
      <c r="I110" s="878"/>
      <c r="J110" s="901"/>
      <c r="K110" s="891"/>
      <c r="L110" s="874"/>
      <c r="M110" s="874"/>
      <c r="N110" s="874"/>
      <c r="O110" s="874"/>
      <c r="Q110" s="874"/>
      <c r="R110" s="874"/>
      <c r="S110" s="874"/>
      <c r="T110" s="874"/>
      <c r="U110" s="874"/>
    </row>
    <row r="111" spans="2:21" x14ac:dyDescent="0.25">
      <c r="D111" s="874"/>
      <c r="E111" s="882"/>
      <c r="F111" s="874"/>
      <c r="G111" s="878"/>
      <c r="H111" s="915"/>
      <c r="I111" s="878"/>
      <c r="J111" s="901"/>
      <c r="K111" s="891"/>
      <c r="L111" s="874"/>
      <c r="M111" s="874"/>
      <c r="N111" s="874"/>
      <c r="O111" s="874"/>
      <c r="Q111" s="874"/>
      <c r="R111" s="874"/>
      <c r="S111" s="874"/>
      <c r="T111" s="874"/>
      <c r="U111" s="874"/>
    </row>
    <row r="112" spans="2:21" x14ac:dyDescent="0.25">
      <c r="D112" s="874"/>
      <c r="E112" s="882"/>
      <c r="F112" s="874"/>
      <c r="G112" s="878"/>
      <c r="H112" s="915"/>
      <c r="I112" s="878"/>
      <c r="J112" s="891"/>
      <c r="K112" s="891"/>
      <c r="L112" s="874"/>
      <c r="M112" s="874"/>
      <c r="N112" s="874"/>
      <c r="O112" s="874"/>
      <c r="Q112" s="874"/>
      <c r="R112" s="874"/>
      <c r="S112" s="874"/>
      <c r="T112" s="874"/>
      <c r="U112" s="874"/>
    </row>
    <row r="113" spans="2:21" x14ac:dyDescent="0.25">
      <c r="D113" s="876"/>
      <c r="E113" s="896"/>
      <c r="F113" s="874"/>
      <c r="G113" s="878"/>
      <c r="H113" s="915"/>
      <c r="I113" s="878"/>
      <c r="J113" s="888"/>
      <c r="K113" s="891"/>
      <c r="L113" s="874"/>
      <c r="M113" s="874"/>
      <c r="N113" s="874"/>
      <c r="O113" s="874"/>
      <c r="Q113" s="874"/>
      <c r="R113" s="874"/>
      <c r="S113" s="874"/>
      <c r="T113" s="874"/>
      <c r="U113" s="874"/>
    </row>
    <row r="114" spans="2:21" x14ac:dyDescent="0.25">
      <c r="D114" s="876"/>
      <c r="E114" s="896"/>
      <c r="F114" s="874"/>
      <c r="G114" s="875"/>
      <c r="H114" s="915"/>
      <c r="I114" s="878"/>
      <c r="J114" s="888"/>
      <c r="K114" s="891"/>
      <c r="L114" s="874"/>
      <c r="M114" s="874"/>
      <c r="N114" s="874"/>
      <c r="O114" s="874"/>
      <c r="Q114" s="874"/>
      <c r="R114" s="874"/>
      <c r="S114" s="874"/>
      <c r="T114" s="874"/>
      <c r="U114" s="874"/>
    </row>
    <row r="115" spans="2:21" x14ac:dyDescent="0.25">
      <c r="D115" s="876"/>
      <c r="E115" s="896"/>
      <c r="F115" s="874"/>
      <c r="G115" s="875"/>
      <c r="H115" s="915"/>
      <c r="I115" s="878"/>
      <c r="J115" s="888"/>
      <c r="K115" s="891"/>
      <c r="L115" s="876"/>
      <c r="M115" s="874"/>
      <c r="N115" s="874"/>
      <c r="O115" s="874"/>
      <c r="Q115" s="874"/>
      <c r="R115" s="874"/>
      <c r="S115" s="874"/>
      <c r="T115" s="874"/>
      <c r="U115" s="874"/>
    </row>
    <row r="116" spans="2:21" x14ac:dyDescent="0.25">
      <c r="D116" s="876"/>
      <c r="E116" s="896"/>
      <c r="F116" s="874"/>
      <c r="G116" s="875"/>
      <c r="H116" s="915"/>
      <c r="I116" s="878"/>
      <c r="J116" s="888"/>
      <c r="K116" s="891"/>
      <c r="L116" s="876"/>
      <c r="M116" s="874"/>
      <c r="N116" s="874"/>
      <c r="O116" s="874"/>
      <c r="Q116" s="874"/>
      <c r="R116" s="874"/>
      <c r="S116" s="874"/>
      <c r="T116" s="874"/>
      <c r="U116" s="874"/>
    </row>
    <row r="117" spans="2:21" x14ac:dyDescent="0.25">
      <c r="D117" s="876"/>
      <c r="E117" s="896"/>
      <c r="F117" s="874"/>
      <c r="G117" s="875"/>
      <c r="H117" s="915"/>
      <c r="I117" s="878"/>
      <c r="J117" s="892"/>
      <c r="K117" s="891"/>
      <c r="L117" s="874"/>
      <c r="M117" s="874"/>
      <c r="N117" s="874"/>
      <c r="O117" s="874"/>
      <c r="Q117" s="874"/>
      <c r="R117" s="874"/>
      <c r="S117" s="874"/>
      <c r="T117" s="874"/>
      <c r="U117" s="874"/>
    </row>
    <row r="118" spans="2:21" x14ac:dyDescent="0.25">
      <c r="B118" s="874"/>
      <c r="C118" s="874"/>
      <c r="D118" s="876"/>
      <c r="E118" s="896"/>
      <c r="F118" s="874"/>
      <c r="G118" s="875"/>
      <c r="H118" s="915"/>
      <c r="I118" s="878"/>
      <c r="J118" s="892"/>
      <c r="K118" s="891"/>
      <c r="L118" s="874"/>
      <c r="M118" s="874"/>
      <c r="N118" s="874"/>
    </row>
    <row r="119" spans="2:21" x14ac:dyDescent="0.25">
      <c r="B119" s="874"/>
      <c r="C119" s="874"/>
      <c r="D119" s="876"/>
      <c r="E119" s="896"/>
      <c r="F119" s="874"/>
      <c r="G119" s="875"/>
      <c r="H119" s="915"/>
      <c r="I119" s="878"/>
      <c r="J119" s="892"/>
      <c r="K119" s="891"/>
      <c r="L119" s="874"/>
      <c r="M119" s="874"/>
      <c r="N119" s="874"/>
    </row>
    <row r="120" spans="2:21" x14ac:dyDescent="0.25">
      <c r="B120" s="874"/>
      <c r="C120" s="874"/>
      <c r="D120" s="876"/>
      <c r="E120" s="896"/>
      <c r="F120" s="874"/>
      <c r="G120" s="875"/>
      <c r="H120" s="915"/>
      <c r="I120" s="878"/>
      <c r="J120" s="892"/>
      <c r="K120" s="891"/>
      <c r="L120" s="874"/>
      <c r="M120" s="874"/>
      <c r="N120" s="874"/>
    </row>
    <row r="121" spans="2:21" x14ac:dyDescent="0.25">
      <c r="B121" s="874"/>
      <c r="C121" s="874"/>
      <c r="D121" s="876"/>
      <c r="E121" s="896"/>
      <c r="F121" s="874"/>
      <c r="G121" s="875"/>
      <c r="H121" s="915"/>
      <c r="I121" s="878"/>
      <c r="J121" s="892"/>
      <c r="K121" s="891"/>
      <c r="L121" s="874"/>
      <c r="M121" s="874"/>
      <c r="N121" s="874"/>
    </row>
    <row r="122" spans="2:21" x14ac:dyDescent="0.25">
      <c r="B122" s="874"/>
      <c r="C122" s="874"/>
      <c r="D122" s="876"/>
      <c r="E122" s="896"/>
      <c r="F122" s="874"/>
      <c r="G122" s="875"/>
      <c r="H122" s="915"/>
      <c r="I122" s="878"/>
      <c r="J122" s="892"/>
      <c r="K122" s="891"/>
      <c r="L122" s="874"/>
      <c r="M122" s="874"/>
      <c r="N122" s="874"/>
    </row>
    <row r="123" spans="2:21" x14ac:dyDescent="0.25">
      <c r="B123" s="874"/>
      <c r="C123" s="874"/>
      <c r="D123" s="897"/>
      <c r="E123" s="899"/>
      <c r="F123" s="885"/>
      <c r="G123" s="916"/>
      <c r="H123" s="916"/>
      <c r="I123" s="878"/>
      <c r="J123" s="892"/>
      <c r="K123" s="891"/>
      <c r="L123" s="874"/>
      <c r="M123" s="874"/>
      <c r="N123" s="874"/>
    </row>
    <row r="124" spans="2:21" x14ac:dyDescent="0.25">
      <c r="B124" s="874"/>
      <c r="C124" s="874"/>
      <c r="D124" s="874"/>
      <c r="E124" s="874"/>
      <c r="F124" s="877"/>
      <c r="G124" s="889"/>
      <c r="H124" s="874"/>
      <c r="I124" s="874"/>
      <c r="J124" s="874"/>
      <c r="K124" s="891"/>
      <c r="L124" s="874"/>
      <c r="M124" s="874"/>
      <c r="N124" s="874"/>
    </row>
    <row r="125" spans="2:21" x14ac:dyDescent="0.25">
      <c r="B125" s="879"/>
      <c r="C125" s="879"/>
      <c r="D125" s="874"/>
      <c r="E125" s="874"/>
      <c r="F125" s="874"/>
      <c r="G125" s="878"/>
      <c r="H125" s="874"/>
      <c r="I125" s="874"/>
      <c r="J125" s="874"/>
      <c r="K125" s="891"/>
      <c r="L125" s="874"/>
      <c r="M125" s="874"/>
      <c r="N125" s="874"/>
    </row>
    <row r="126" spans="2:21" x14ac:dyDescent="0.25">
      <c r="B126" s="874"/>
      <c r="C126" s="874"/>
      <c r="D126" s="874"/>
      <c r="E126" s="874"/>
      <c r="F126" s="877"/>
      <c r="G126" s="889"/>
      <c r="H126" s="874"/>
      <c r="I126" s="874"/>
      <c r="J126" s="874"/>
      <c r="K126" s="891"/>
      <c r="L126" s="874"/>
      <c r="M126" s="874"/>
      <c r="N126" s="874"/>
    </row>
    <row r="127" spans="2:21" x14ac:dyDescent="0.25">
      <c r="B127" s="874"/>
      <c r="C127" s="874"/>
      <c r="D127" s="874"/>
      <c r="E127" s="879"/>
      <c r="F127" s="879"/>
      <c r="G127" s="879"/>
      <c r="H127" s="879"/>
      <c r="I127" s="879"/>
      <c r="J127" s="879"/>
      <c r="K127" s="879"/>
      <c r="L127" s="879"/>
      <c r="M127" s="874"/>
      <c r="N127" s="879"/>
    </row>
    <row r="128" spans="2:21" x14ac:dyDescent="0.25">
      <c r="B128" s="874"/>
      <c r="C128" s="874"/>
      <c r="D128" s="874"/>
      <c r="E128" s="882"/>
      <c r="F128" s="874"/>
      <c r="G128" s="900"/>
      <c r="H128" s="914"/>
      <c r="I128" s="878"/>
      <c r="J128" s="891"/>
      <c r="K128" s="891"/>
      <c r="L128" s="878"/>
      <c r="M128" s="874"/>
      <c r="N128" s="874"/>
    </row>
    <row r="129" spans="2:14" x14ac:dyDescent="0.25">
      <c r="B129" s="874"/>
      <c r="C129" s="874"/>
      <c r="D129" s="874"/>
      <c r="E129" s="882"/>
      <c r="F129" s="874"/>
      <c r="G129" s="900"/>
      <c r="H129" s="914"/>
      <c r="I129" s="878"/>
      <c r="J129" s="891"/>
      <c r="K129" s="891"/>
      <c r="L129" s="878"/>
      <c r="M129" s="874"/>
      <c r="N129" s="874"/>
    </row>
    <row r="130" spans="2:14" x14ac:dyDescent="0.25">
      <c r="B130" s="874"/>
      <c r="C130" s="874"/>
      <c r="D130" s="874"/>
      <c r="E130" s="882"/>
      <c r="F130" s="874"/>
      <c r="G130" s="900"/>
      <c r="H130" s="914"/>
      <c r="I130" s="878"/>
      <c r="J130" s="891"/>
      <c r="K130" s="891"/>
      <c r="L130" s="878"/>
      <c r="M130" s="874"/>
      <c r="N130" s="874"/>
    </row>
    <row r="131" spans="2:14" x14ac:dyDescent="0.25">
      <c r="B131" s="874"/>
      <c r="C131" s="874"/>
      <c r="D131" s="874"/>
      <c r="E131" s="882"/>
      <c r="F131" s="874"/>
      <c r="G131" s="900"/>
      <c r="H131" s="914"/>
      <c r="I131" s="878"/>
      <c r="J131" s="891"/>
      <c r="K131" s="891"/>
      <c r="L131" s="878"/>
      <c r="M131" s="874"/>
      <c r="N131" s="874"/>
    </row>
    <row r="132" spans="2:14" x14ac:dyDescent="0.25">
      <c r="B132" s="874"/>
      <c r="C132" s="874"/>
      <c r="D132" s="874"/>
      <c r="E132" s="882"/>
      <c r="F132" s="874"/>
      <c r="G132" s="900"/>
      <c r="H132" s="914"/>
      <c r="I132" s="878"/>
      <c r="J132" s="891"/>
      <c r="K132" s="891"/>
      <c r="L132" s="878"/>
      <c r="M132" s="874"/>
      <c r="N132" s="874"/>
    </row>
    <row r="133" spans="2:14" ht="15" customHeight="1" x14ac:dyDescent="0.25">
      <c r="B133" s="874"/>
      <c r="C133" s="874"/>
      <c r="D133" s="895"/>
      <c r="E133" s="882"/>
      <c r="F133" s="895"/>
      <c r="G133" s="900"/>
      <c r="H133" s="914"/>
      <c r="I133" s="878"/>
      <c r="J133" s="891"/>
      <c r="K133" s="891"/>
      <c r="L133" s="878"/>
      <c r="M133" s="874"/>
      <c r="N133" s="874"/>
    </row>
    <row r="134" spans="2:14" ht="15" customHeight="1" x14ac:dyDescent="0.25">
      <c r="D134" s="874"/>
      <c r="E134" s="882"/>
      <c r="F134" s="874"/>
      <c r="G134" s="900"/>
      <c r="H134" s="914"/>
      <c r="I134" s="878"/>
      <c r="J134" s="891"/>
      <c r="K134" s="891"/>
      <c r="L134" s="878"/>
    </row>
    <row r="135" spans="2:14" ht="15" customHeight="1" x14ac:dyDescent="0.25">
      <c r="D135" s="895"/>
      <c r="E135" s="882"/>
      <c r="F135" s="895"/>
      <c r="G135" s="900"/>
      <c r="H135" s="914"/>
      <c r="I135" s="878"/>
      <c r="J135" s="891"/>
      <c r="K135" s="891"/>
      <c r="L135" s="878"/>
    </row>
    <row r="136" spans="2:14" x14ac:dyDescent="0.25">
      <c r="D136" s="874"/>
      <c r="E136" s="882"/>
      <c r="F136" s="874"/>
      <c r="G136" s="900"/>
      <c r="H136" s="914"/>
      <c r="I136" s="878"/>
      <c r="J136" s="891"/>
      <c r="K136" s="891"/>
      <c r="L136" s="878"/>
    </row>
    <row r="137" spans="2:14" x14ac:dyDescent="0.25">
      <c r="D137" s="874"/>
      <c r="E137" s="882"/>
      <c r="F137" s="874"/>
      <c r="G137" s="900"/>
      <c r="H137" s="914"/>
      <c r="I137" s="878"/>
      <c r="J137" s="891"/>
      <c r="K137" s="891"/>
      <c r="L137" s="878"/>
    </row>
    <row r="138" spans="2:14" x14ac:dyDescent="0.25">
      <c r="D138" s="874"/>
      <c r="E138" s="882"/>
      <c r="F138" s="874"/>
      <c r="G138" s="900"/>
      <c r="H138" s="914"/>
      <c r="I138" s="878"/>
      <c r="J138" s="901"/>
      <c r="K138" s="891"/>
      <c r="L138" s="878"/>
    </row>
    <row r="139" spans="2:14" x14ac:dyDescent="0.25">
      <c r="D139" s="874"/>
      <c r="E139" s="882"/>
      <c r="F139" s="874"/>
      <c r="G139" s="900"/>
      <c r="H139" s="914"/>
      <c r="I139" s="878"/>
      <c r="J139" s="901"/>
      <c r="K139" s="891"/>
      <c r="L139" s="878"/>
    </row>
    <row r="140" spans="2:14" ht="16.5" customHeight="1" x14ac:dyDescent="0.25">
      <c r="E140" s="611"/>
      <c r="F140" s="480"/>
      <c r="G140" s="401"/>
      <c r="H140" s="507"/>
      <c r="I140" s="408"/>
      <c r="J140" s="436"/>
      <c r="K140" s="436"/>
      <c r="L140" s="408"/>
    </row>
    <row r="141" spans="2:14" ht="18" customHeight="1" x14ac:dyDescent="0.25">
      <c r="E141" s="75"/>
      <c r="F141" s="480"/>
      <c r="G141" s="401"/>
      <c r="H141" s="507"/>
      <c r="I141" s="408"/>
      <c r="J141" s="33"/>
      <c r="K141" s="436"/>
      <c r="L141" s="408"/>
    </row>
    <row r="142" spans="2:14" x14ac:dyDescent="0.25">
      <c r="E142" s="75"/>
      <c r="G142" s="401"/>
      <c r="H142" s="507"/>
      <c r="I142" s="408"/>
      <c r="J142" s="33"/>
      <c r="K142" s="436"/>
      <c r="L142" s="408"/>
    </row>
    <row r="143" spans="2:14" x14ac:dyDescent="0.25">
      <c r="E143" s="75"/>
      <c r="G143" s="401"/>
      <c r="H143" s="507"/>
      <c r="I143" s="408"/>
      <c r="J143" s="33"/>
      <c r="K143" s="436"/>
      <c r="L143" s="408"/>
    </row>
    <row r="144" spans="2:14" x14ac:dyDescent="0.25">
      <c r="E144" s="75"/>
      <c r="G144" s="401"/>
      <c r="H144" s="401"/>
      <c r="I144" s="408"/>
      <c r="J144" s="33"/>
      <c r="K144" s="436"/>
      <c r="L144" s="408"/>
    </row>
    <row r="145" spans="1:12" x14ac:dyDescent="0.25">
      <c r="E145" s="75"/>
      <c r="G145" s="401"/>
      <c r="H145" s="401"/>
      <c r="I145" s="408"/>
      <c r="J145" s="66"/>
      <c r="K145" s="436"/>
      <c r="L145" s="408"/>
    </row>
    <row r="146" spans="1:12" x14ac:dyDescent="0.25">
      <c r="D146" s="480"/>
      <c r="E146" s="75"/>
      <c r="G146" s="401"/>
      <c r="H146" s="401"/>
      <c r="I146" s="408"/>
      <c r="J146" s="66"/>
      <c r="K146" s="436"/>
      <c r="L146" s="408"/>
    </row>
    <row r="147" spans="1:12" x14ac:dyDescent="0.25">
      <c r="D147" s="480"/>
      <c r="E147" s="75"/>
      <c r="G147" s="401"/>
      <c r="H147" s="401"/>
      <c r="I147" s="408"/>
      <c r="J147" s="66"/>
      <c r="K147" s="436"/>
      <c r="L147" s="408"/>
    </row>
    <row r="148" spans="1:12" x14ac:dyDescent="0.25">
      <c r="D148" s="480"/>
      <c r="E148" s="75"/>
      <c r="G148" s="401"/>
      <c r="H148" s="508"/>
      <c r="I148" s="408"/>
      <c r="J148" s="66"/>
      <c r="K148" s="436"/>
      <c r="L148" s="408"/>
    </row>
    <row r="149" spans="1:12" x14ac:dyDescent="0.25">
      <c r="D149" s="480"/>
      <c r="E149" s="75"/>
      <c r="G149" s="401"/>
      <c r="H149" s="508"/>
      <c r="I149" s="408"/>
      <c r="J149" s="66"/>
      <c r="K149" s="436"/>
      <c r="L149" s="408"/>
    </row>
    <row r="150" spans="1:12" x14ac:dyDescent="0.25">
      <c r="G150" s="408"/>
      <c r="H150" s="428"/>
      <c r="I150" s="368"/>
      <c r="J150" s="66"/>
      <c r="K150" s="368"/>
      <c r="L150" s="368"/>
    </row>
    <row r="151" spans="1:12" x14ac:dyDescent="0.25">
      <c r="D151" s="288"/>
      <c r="E151" s="288"/>
      <c r="F151" s="288"/>
      <c r="G151" s="98"/>
      <c r="H151" s="98"/>
      <c r="I151" s="368"/>
      <c r="J151" s="66"/>
      <c r="K151" s="368"/>
      <c r="L151" s="368"/>
    </row>
    <row r="152" spans="1:12" x14ac:dyDescent="0.25">
      <c r="G152" s="408"/>
      <c r="H152" s="428"/>
      <c r="I152" s="368"/>
      <c r="J152" s="66"/>
      <c r="K152" s="368"/>
      <c r="L152" s="368"/>
    </row>
    <row r="153" spans="1:12" x14ac:dyDescent="0.25">
      <c r="A153" s="595"/>
      <c r="E153" s="408"/>
      <c r="F153" s="428"/>
      <c r="G153" s="368"/>
      <c r="H153" s="66"/>
      <c r="I153" s="314"/>
    </row>
    <row r="154" spans="1:12" x14ac:dyDescent="0.25">
      <c r="A154" s="595"/>
      <c r="E154" s="408"/>
      <c r="F154" s="428"/>
      <c r="G154" s="368"/>
      <c r="H154" s="66"/>
      <c r="I154" s="314"/>
    </row>
    <row r="155" spans="1:12" x14ac:dyDescent="0.25">
      <c r="A155" s="595"/>
      <c r="B155" s="605"/>
      <c r="E155" s="408"/>
      <c r="F155" s="428"/>
      <c r="G155" s="368"/>
      <c r="H155" s="66"/>
      <c r="I155" s="314"/>
    </row>
    <row r="156" spans="1:12" x14ac:dyDescent="0.25">
      <c r="E156" s="408"/>
      <c r="F156" s="428"/>
      <c r="G156" s="368"/>
      <c r="H156" s="66"/>
      <c r="I156" s="314"/>
    </row>
    <row r="157" spans="1:12" x14ac:dyDescent="0.25">
      <c r="A157" s="595"/>
      <c r="E157" s="408"/>
      <c r="F157" s="428"/>
      <c r="G157" s="368"/>
      <c r="H157" s="66"/>
      <c r="I157" s="314"/>
    </row>
    <row r="158" spans="1:12" x14ac:dyDescent="0.25">
      <c r="A158" s="595"/>
      <c r="E158" s="408"/>
      <c r="F158" s="428"/>
      <c r="G158" s="368"/>
      <c r="H158" s="66"/>
      <c r="I158" s="314"/>
    </row>
    <row r="159" spans="1:12" x14ac:dyDescent="0.25">
      <c r="A159" s="595"/>
      <c r="E159" s="408"/>
      <c r="F159" s="428"/>
      <c r="G159" s="368"/>
      <c r="H159" s="66"/>
      <c r="I159" s="314"/>
    </row>
    <row r="160" spans="1:12" x14ac:dyDescent="0.25">
      <c r="A160" s="595"/>
      <c r="E160" s="408"/>
      <c r="F160" s="428"/>
      <c r="G160" s="368"/>
      <c r="H160" s="66"/>
      <c r="I160" s="314"/>
    </row>
    <row r="161" spans="1:9" x14ac:dyDescent="0.25">
      <c r="A161" s="595"/>
      <c r="E161" s="408"/>
      <c r="F161" s="428"/>
      <c r="G161" s="368"/>
      <c r="H161" s="66"/>
      <c r="I161" s="314"/>
    </row>
    <row r="162" spans="1:9" x14ac:dyDescent="0.25">
      <c r="A162" s="595"/>
      <c r="E162" s="408"/>
      <c r="F162" s="428"/>
      <c r="G162" s="368"/>
      <c r="H162" s="66"/>
      <c r="I162" s="314"/>
    </row>
    <row r="163" spans="1:9" x14ac:dyDescent="0.25">
      <c r="A163" s="595"/>
      <c r="E163" s="408"/>
      <c r="F163" s="428"/>
      <c r="G163" s="368"/>
      <c r="H163" s="66"/>
      <c r="I163" s="314"/>
    </row>
    <row r="164" spans="1:9" x14ac:dyDescent="0.25">
      <c r="A164" s="595"/>
      <c r="E164" s="408"/>
      <c r="F164" s="428"/>
      <c r="G164" s="368"/>
      <c r="H164" s="66"/>
      <c r="I164" s="314"/>
    </row>
    <row r="165" spans="1:9" x14ac:dyDescent="0.25">
      <c r="A165" s="595"/>
      <c r="E165" s="408"/>
      <c r="F165" s="428"/>
      <c r="G165" s="368"/>
      <c r="H165" s="66"/>
      <c r="I165" s="314"/>
    </row>
    <row r="166" spans="1:9" x14ac:dyDescent="0.25">
      <c r="A166" s="595"/>
      <c r="E166" s="408"/>
      <c r="F166" s="428"/>
      <c r="G166" s="368"/>
      <c r="H166" s="66"/>
      <c r="I166" s="314"/>
    </row>
    <row r="167" spans="1:9" x14ac:dyDescent="0.25">
      <c r="A167" s="595"/>
      <c r="E167" s="408"/>
      <c r="F167" s="428"/>
      <c r="G167" s="368"/>
      <c r="H167" s="66"/>
      <c r="I167" s="314"/>
    </row>
    <row r="168" spans="1:9" x14ac:dyDescent="0.25">
      <c r="A168" s="595"/>
      <c r="E168" s="408"/>
      <c r="F168" s="428"/>
      <c r="G168" s="368"/>
      <c r="H168" s="66"/>
      <c r="I168" s="314"/>
    </row>
    <row r="169" spans="1:9" x14ac:dyDescent="0.25">
      <c r="A169" s="595"/>
      <c r="E169" s="408"/>
      <c r="F169" s="428"/>
      <c r="G169" s="368"/>
      <c r="H169" s="66"/>
      <c r="I169" s="314"/>
    </row>
    <row r="170" spans="1:9" x14ac:dyDescent="0.25">
      <c r="A170" s="595"/>
      <c r="E170" s="408"/>
      <c r="F170" s="428"/>
      <c r="G170" s="368"/>
      <c r="H170" s="66"/>
      <c r="I170" s="314"/>
    </row>
    <row r="171" spans="1:9" x14ac:dyDescent="0.25">
      <c r="A171" s="595"/>
      <c r="B171" s="480"/>
      <c r="E171" s="408"/>
      <c r="F171" s="428"/>
      <c r="G171" s="368"/>
      <c r="H171" s="66"/>
      <c r="I171" s="314"/>
    </row>
    <row r="172" spans="1:9" x14ac:dyDescent="0.25">
      <c r="A172" s="595"/>
      <c r="B172" s="480"/>
      <c r="E172" s="408"/>
      <c r="F172" s="428"/>
      <c r="G172" s="368"/>
      <c r="H172" s="66"/>
      <c r="I172" s="314"/>
    </row>
    <row r="173" spans="1:9" x14ac:dyDescent="0.25">
      <c r="A173" s="595"/>
      <c r="B173" s="480"/>
      <c r="D173" s="480"/>
      <c r="E173" s="408"/>
      <c r="F173" s="428"/>
      <c r="G173" s="368"/>
      <c r="H173" s="66"/>
      <c r="I173" s="314"/>
    </row>
    <row r="174" spans="1:9" x14ac:dyDescent="0.25">
      <c r="A174" s="595"/>
      <c r="B174" s="480"/>
      <c r="D174" s="480"/>
      <c r="E174" s="408"/>
      <c r="F174" s="428"/>
      <c r="G174" s="368"/>
      <c r="H174" s="66"/>
      <c r="I174" s="314"/>
    </row>
    <row r="175" spans="1:9" x14ac:dyDescent="0.25">
      <c r="A175" s="595"/>
      <c r="B175" s="480"/>
      <c r="E175" s="408"/>
      <c r="F175" s="428"/>
      <c r="G175" s="368"/>
      <c r="H175" s="66"/>
      <c r="I175" s="314"/>
    </row>
    <row r="176" spans="1:9" x14ac:dyDescent="0.25">
      <c r="B176" s="480"/>
      <c r="E176" s="408"/>
      <c r="F176" s="428"/>
      <c r="G176" s="368"/>
      <c r="H176" s="66"/>
    </row>
    <row r="177" spans="1:8" ht="15.75" x14ac:dyDescent="0.25">
      <c r="B177" s="480"/>
      <c r="E177" s="271"/>
      <c r="F177" s="272"/>
      <c r="G177" s="273"/>
      <c r="H177" s="274"/>
    </row>
    <row r="178" spans="1:8" ht="15.75" x14ac:dyDescent="0.25">
      <c r="B178" s="480"/>
      <c r="E178" s="271"/>
      <c r="F178" s="272"/>
      <c r="G178" s="273"/>
      <c r="H178" s="274"/>
    </row>
    <row r="179" spans="1:8" ht="15.75" x14ac:dyDescent="0.25">
      <c r="B179" s="480"/>
      <c r="E179" s="271"/>
      <c r="F179" s="272"/>
      <c r="G179" s="273"/>
      <c r="H179" s="274"/>
    </row>
    <row r="180" spans="1:8" ht="15.75" x14ac:dyDescent="0.25">
      <c r="B180" s="480"/>
      <c r="D180" s="74"/>
      <c r="E180" s="271"/>
      <c r="F180" s="272"/>
      <c r="G180" s="273"/>
      <c r="H180" s="274"/>
    </row>
    <row r="181" spans="1:8" ht="15.75" x14ac:dyDescent="0.25">
      <c r="A181" s="595"/>
      <c r="B181" s="74"/>
      <c r="D181" s="74"/>
      <c r="E181" s="271"/>
      <c r="F181" s="272"/>
      <c r="G181" s="273"/>
      <c r="H181" s="274"/>
    </row>
    <row r="182" spans="1:8" ht="15.75" x14ac:dyDescent="0.25">
      <c r="A182" s="595"/>
      <c r="B182" s="605"/>
      <c r="F182" s="272"/>
      <c r="G182" s="273"/>
      <c r="H182" s="274"/>
    </row>
    <row r="183" spans="1:8" ht="15.75" x14ac:dyDescent="0.25">
      <c r="A183" s="595"/>
      <c r="F183" s="272"/>
      <c r="G183" s="273"/>
      <c r="H183" s="274"/>
    </row>
    <row r="185" spans="1:8" x14ac:dyDescent="0.25">
      <c r="A185" s="595"/>
    </row>
    <row r="186" spans="1:8" ht="15.75" x14ac:dyDescent="0.25">
      <c r="E186" s="271"/>
    </row>
    <row r="187" spans="1:8" ht="15.75" x14ac:dyDescent="0.25">
      <c r="E187" s="271"/>
    </row>
    <row r="188" spans="1:8" ht="15.75" x14ac:dyDescent="0.25">
      <c r="E188" s="271"/>
    </row>
    <row r="189" spans="1:8" ht="15.75" x14ac:dyDescent="0.25">
      <c r="E189" s="271"/>
    </row>
    <row r="190" spans="1:8" ht="15.75" x14ac:dyDescent="0.25">
      <c r="E190" s="271"/>
    </row>
    <row r="191" spans="1:8" ht="15.75" x14ac:dyDescent="0.25">
      <c r="E191" s="271"/>
    </row>
    <row r="192" spans="1:8" ht="15.75" x14ac:dyDescent="0.25">
      <c r="E192" s="271"/>
    </row>
    <row r="193" spans="2:5" ht="15.75" x14ac:dyDescent="0.25">
      <c r="E193" s="271"/>
    </row>
    <row r="194" spans="2:5" ht="15.75" x14ac:dyDescent="0.25">
      <c r="E194" s="271"/>
    </row>
    <row r="195" spans="2:5" ht="15.75" x14ac:dyDescent="0.25">
      <c r="E195" s="271"/>
    </row>
    <row r="199" spans="2:5" x14ac:dyDescent="0.25">
      <c r="B199" s="480"/>
    </row>
    <row r="200" spans="2:5" x14ac:dyDescent="0.25">
      <c r="B200" s="480"/>
    </row>
    <row r="201" spans="2:5" x14ac:dyDescent="0.25">
      <c r="B201" s="480"/>
      <c r="D201" s="480"/>
    </row>
    <row r="202" spans="2:5" x14ac:dyDescent="0.25">
      <c r="B202" s="480"/>
      <c r="D202" s="480"/>
    </row>
    <row r="203" spans="2:5" x14ac:dyDescent="0.25">
      <c r="B203" s="480"/>
    </row>
    <row r="204" spans="2:5" x14ac:dyDescent="0.25">
      <c r="B204" s="480"/>
    </row>
    <row r="205" spans="2:5" x14ac:dyDescent="0.25">
      <c r="B205" s="480"/>
    </row>
    <row r="206" spans="2:5" x14ac:dyDescent="0.25">
      <c r="B206" s="480"/>
    </row>
    <row r="207" spans="2:5" x14ac:dyDescent="0.25">
      <c r="B207" s="480"/>
    </row>
  </sheetData>
  <autoFilter ref="D22:Q42">
    <sortState ref="D24:P45">
      <sortCondition ref="D23:D44"/>
    </sortState>
  </autoFilter>
  <dataValidations disablePrompts="1" count="3">
    <dataValidation type="list" showInputMessage="1" showErrorMessage="1" sqref="D153:D157 D180:D181">
      <formula1>#REF!</formula1>
    </dataValidation>
    <dataValidation type="list" showInputMessage="1" showErrorMessage="1" sqref="F128:F152 F100:F123">
      <formula1>$E$4:$E$13</formula1>
    </dataValidation>
    <dataValidation showInputMessage="1" showErrorMessage="1" sqref="E4:E9"/>
  </dataValidations>
  <hyperlinks>
    <hyperlink ref="R28" r:id="rId1"/>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L16"/>
  <sheetViews>
    <sheetView zoomScale="70" zoomScaleNormal="70" zoomScalePageLayoutView="70" workbookViewId="0">
      <selection activeCell="F25" sqref="F25"/>
    </sheetView>
  </sheetViews>
  <sheetFormatPr defaultColWidth="8.85546875" defaultRowHeight="15" x14ac:dyDescent="0.25"/>
  <cols>
    <col min="1" max="1" width="5.7109375" customWidth="1"/>
    <col min="4" max="4" width="26" customWidth="1"/>
    <col min="5" max="8" width="22.85546875" bestFit="1" customWidth="1"/>
  </cols>
  <sheetData>
    <row r="1" spans="1:12" x14ac:dyDescent="0.25">
      <c r="A1" s="57" t="s">
        <v>156</v>
      </c>
    </row>
    <row r="2" spans="1:12" x14ac:dyDescent="0.25">
      <c r="E2" s="63"/>
      <c r="F2" s="63"/>
      <c r="G2" s="63"/>
      <c r="H2" s="63"/>
    </row>
    <row r="3" spans="1:12" x14ac:dyDescent="0.25">
      <c r="E3">
        <v>1</v>
      </c>
      <c r="F3">
        <v>10</v>
      </c>
      <c r="G3">
        <v>50</v>
      </c>
      <c r="H3">
        <v>100</v>
      </c>
    </row>
    <row r="4" spans="1:12" x14ac:dyDescent="0.25">
      <c r="B4" s="64"/>
      <c r="D4" t="s">
        <v>466</v>
      </c>
      <c r="E4" s="408">
        <f>'CBS (Total)'!J23+'CBS (Total)'!J30</f>
        <v>4405189.4198491368</v>
      </c>
      <c r="F4" s="408">
        <f>'CBS (Total)'!L23+'CBS (Total)'!L30</f>
        <v>31561509.091653101</v>
      </c>
      <c r="G4" s="408">
        <f>'CBS (Total)'!N23+'CBS (Total)'!N30</f>
        <v>139605309.0974707</v>
      </c>
      <c r="H4" s="408">
        <f>'CBS (Total)'!P23+'CBS (Total)'!P30</f>
        <v>270349414.42656535</v>
      </c>
      <c r="J4" s="408"/>
      <c r="L4" s="408"/>
    </row>
    <row r="5" spans="1:12" x14ac:dyDescent="0.25">
      <c r="B5" s="64"/>
      <c r="E5" s="372">
        <v>0.1</v>
      </c>
      <c r="F5" s="372">
        <v>0.1</v>
      </c>
      <c r="G5" s="372">
        <v>0.1</v>
      </c>
      <c r="H5" s="372">
        <v>0.1</v>
      </c>
    </row>
    <row r="7" spans="1:12" s="604" customFormat="1" x14ac:dyDescent="0.25">
      <c r="D7" s="288" t="s">
        <v>98</v>
      </c>
      <c r="E7" s="98">
        <f>E4*E5</f>
        <v>440518.94198491372</v>
      </c>
      <c r="F7" s="98">
        <f t="shared" ref="F7:H7" si="0">F4*F5</f>
        <v>3156150.9091653102</v>
      </c>
      <c r="G7" s="98">
        <f t="shared" si="0"/>
        <v>13960530.909747072</v>
      </c>
      <c r="H7" s="98">
        <f t="shared" si="0"/>
        <v>27034941.442656536</v>
      </c>
    </row>
    <row r="8" spans="1:12" s="604" customFormat="1" x14ac:dyDescent="0.25">
      <c r="E8" s="63" t="s">
        <v>157</v>
      </c>
      <c r="F8" s="63" t="s">
        <v>157</v>
      </c>
      <c r="G8" s="63" t="s">
        <v>157</v>
      </c>
      <c r="H8" s="63" t="s">
        <v>157</v>
      </c>
    </row>
    <row r="10" spans="1:12" s="253" customFormat="1" x14ac:dyDescent="0.25">
      <c r="A10" s="174" t="s">
        <v>215</v>
      </c>
      <c r="E10" s="62"/>
      <c r="F10" s="62"/>
      <c r="G10" s="62"/>
      <c r="H10" s="62"/>
    </row>
    <row r="11" spans="1:12" s="253" customFormat="1" x14ac:dyDescent="0.25">
      <c r="A11" s="253">
        <v>1.6</v>
      </c>
      <c r="B11" s="315" t="s">
        <v>85</v>
      </c>
      <c r="E11" s="62"/>
      <c r="F11" s="62"/>
      <c r="G11" s="62"/>
      <c r="H11" s="62"/>
    </row>
    <row r="12" spans="1:12" s="253" customFormat="1" x14ac:dyDescent="0.25">
      <c r="B12" s="315" t="s">
        <v>86</v>
      </c>
    </row>
    <row r="13" spans="1:12" s="253" customFormat="1" x14ac:dyDescent="0.25">
      <c r="B13" s="316" t="s">
        <v>229</v>
      </c>
    </row>
    <row r="14" spans="1:12" s="253" customFormat="1" x14ac:dyDescent="0.25"/>
    <row r="15" spans="1:12" s="253" customFormat="1" x14ac:dyDescent="0.25">
      <c r="A15" s="174" t="s">
        <v>212</v>
      </c>
    </row>
    <row r="16" spans="1:12" s="253" customFormat="1" x14ac:dyDescent="0.25">
      <c r="A16" s="253">
        <v>1.6</v>
      </c>
      <c r="B16" s="253" t="s">
        <v>216</v>
      </c>
    </row>
  </sheetData>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zoomScale="80" zoomScaleNormal="80" zoomScalePageLayoutView="70" workbookViewId="0">
      <selection activeCell="D10" sqref="D10"/>
    </sheetView>
  </sheetViews>
  <sheetFormatPr defaultColWidth="8.85546875" defaultRowHeight="15" x14ac:dyDescent="0.25"/>
  <cols>
    <col min="1" max="1" width="6.85546875" style="610" customWidth="1"/>
    <col min="2" max="2" width="3.7109375" style="610" customWidth="1"/>
    <col min="3" max="3" width="25.42578125" style="610" customWidth="1"/>
    <col min="4" max="4" width="31.42578125" style="610" customWidth="1"/>
    <col min="5" max="5" width="13.42578125" style="610" customWidth="1"/>
    <col min="6" max="6" width="15" style="610" bestFit="1" customWidth="1"/>
    <col min="7" max="7" width="16.85546875" style="610" bestFit="1" customWidth="1"/>
    <col min="8" max="8" width="16.42578125" style="610" bestFit="1" customWidth="1"/>
    <col min="9" max="9" width="15.85546875" style="610" customWidth="1"/>
    <col min="10" max="10" width="13.28515625" style="610" customWidth="1"/>
    <col min="11" max="11" width="13.42578125" style="610" bestFit="1" customWidth="1"/>
    <col min="12" max="12" width="13.140625" style="610" bestFit="1" customWidth="1"/>
    <col min="13" max="13" width="14.42578125" style="610" bestFit="1" customWidth="1"/>
    <col min="14" max="14" width="14" style="610" customWidth="1"/>
    <col min="15" max="15" width="13.140625" style="610" bestFit="1" customWidth="1"/>
    <col min="16" max="16" width="15.42578125" style="610" bestFit="1" customWidth="1"/>
    <col min="17" max="17" width="15" style="610" customWidth="1"/>
    <col min="18" max="18" width="13.42578125" style="610" bestFit="1" customWidth="1"/>
    <col min="19" max="19" width="12" style="610" bestFit="1" customWidth="1"/>
    <col min="20" max="20" width="10.7109375" style="610" customWidth="1"/>
    <col min="21" max="21" width="13.42578125" style="610" bestFit="1" customWidth="1"/>
    <col min="22" max="22" width="15.28515625" style="610" customWidth="1"/>
    <col min="23" max="16384" width="8.85546875" style="610"/>
  </cols>
  <sheetData>
    <row r="1" spans="1:22" x14ac:dyDescent="0.25">
      <c r="A1" s="332" t="s">
        <v>368</v>
      </c>
      <c r="B1" s="607"/>
      <c r="C1" s="607"/>
      <c r="D1" s="607"/>
      <c r="E1" s="607"/>
      <c r="F1" s="607"/>
      <c r="G1" s="607"/>
      <c r="H1" s="607"/>
      <c r="I1" s="607"/>
      <c r="J1" s="607"/>
      <c r="K1" s="607"/>
      <c r="L1" s="607"/>
      <c r="M1" s="607"/>
      <c r="N1" s="607"/>
      <c r="O1" s="607"/>
      <c r="P1" s="422"/>
      <c r="Q1" s="422"/>
      <c r="R1" s="422"/>
      <c r="S1" s="422"/>
      <c r="T1" s="422"/>
      <c r="U1" s="607"/>
      <c r="V1" s="607"/>
    </row>
    <row r="2" spans="1:22" x14ac:dyDescent="0.25">
      <c r="A2" s="607"/>
      <c r="B2" s="607"/>
      <c r="C2" s="607"/>
      <c r="D2" s="607"/>
      <c r="E2" s="607"/>
      <c r="F2" s="607"/>
      <c r="G2" s="607"/>
      <c r="H2" s="607"/>
      <c r="I2" s="607"/>
      <c r="J2" s="607"/>
      <c r="K2" s="607"/>
      <c r="L2" s="607"/>
      <c r="M2" s="607"/>
      <c r="N2" s="607"/>
      <c r="O2" s="607"/>
      <c r="P2" s="422"/>
      <c r="Q2" s="422"/>
      <c r="R2" s="422"/>
      <c r="S2" s="422"/>
      <c r="T2" s="422"/>
      <c r="U2" s="607"/>
      <c r="V2" s="607"/>
    </row>
    <row r="3" spans="1:22" x14ac:dyDescent="0.25">
      <c r="A3" s="332" t="s">
        <v>109</v>
      </c>
      <c r="B3" s="607"/>
      <c r="C3" s="607"/>
      <c r="D3" s="607"/>
      <c r="E3" s="607"/>
      <c r="F3" s="607"/>
      <c r="G3" s="607"/>
      <c r="H3" s="607"/>
      <c r="I3" s="607"/>
      <c r="J3" s="607"/>
      <c r="K3" s="607"/>
      <c r="L3" s="607"/>
      <c r="M3" s="607"/>
      <c r="N3" s="607"/>
      <c r="O3" s="607"/>
      <c r="P3" s="422"/>
      <c r="Q3" s="422"/>
      <c r="R3" s="422"/>
      <c r="S3" s="422"/>
      <c r="T3" s="422"/>
      <c r="U3" s="607"/>
      <c r="V3" s="607"/>
    </row>
    <row r="4" spans="1:22" x14ac:dyDescent="0.25">
      <c r="A4" s="607"/>
      <c r="B4" s="607"/>
      <c r="C4" s="607"/>
      <c r="D4" s="607"/>
      <c r="E4" s="607" t="s">
        <v>65</v>
      </c>
      <c r="F4" s="607">
        <v>1</v>
      </c>
      <c r="G4" s="607">
        <v>10</v>
      </c>
      <c r="H4" s="607">
        <v>50</v>
      </c>
      <c r="I4" s="607">
        <v>100</v>
      </c>
      <c r="J4" s="607"/>
      <c r="K4" s="607"/>
      <c r="L4" s="607"/>
      <c r="M4" s="607"/>
      <c r="N4" s="607"/>
      <c r="O4" s="607"/>
      <c r="P4" s="422"/>
      <c r="Q4" s="481"/>
      <c r="R4" s="422"/>
      <c r="S4" s="422"/>
      <c r="T4" s="422"/>
      <c r="U4" s="607"/>
      <c r="V4" s="607"/>
    </row>
    <row r="5" spans="1:22" x14ac:dyDescent="0.25">
      <c r="A5" s="607"/>
      <c r="B5" s="334" t="s">
        <v>72</v>
      </c>
      <c r="C5" s="607"/>
      <c r="D5" s="607" t="s">
        <v>47</v>
      </c>
      <c r="E5" s="607"/>
      <c r="F5" s="342">
        <f>F20</f>
        <v>29750</v>
      </c>
      <c r="G5" s="342">
        <f>G20</f>
        <v>297500</v>
      </c>
      <c r="H5" s="342">
        <f>H20</f>
        <v>1487500</v>
      </c>
      <c r="I5" s="342">
        <f>I20</f>
        <v>2975000</v>
      </c>
      <c r="J5" s="607"/>
      <c r="K5" s="607"/>
      <c r="L5" s="607"/>
      <c r="M5" s="607"/>
      <c r="N5" s="607"/>
      <c r="O5" s="607"/>
      <c r="P5" s="481"/>
      <c r="Q5" s="476"/>
      <c r="R5" s="476"/>
      <c r="S5" s="476"/>
      <c r="T5" s="476"/>
      <c r="U5" s="607"/>
      <c r="V5" s="607"/>
    </row>
    <row r="6" spans="1:22" x14ac:dyDescent="0.25">
      <c r="A6" s="607"/>
      <c r="B6" s="334" t="s">
        <v>73</v>
      </c>
      <c r="C6" s="607"/>
      <c r="D6" s="607" t="s">
        <v>48</v>
      </c>
      <c r="E6" s="607"/>
      <c r="F6" s="342">
        <f>F34</f>
        <v>667000</v>
      </c>
      <c r="G6" s="342">
        <f t="shared" ref="G6:I6" si="0">G34</f>
        <v>767200</v>
      </c>
      <c r="H6" s="342">
        <f t="shared" si="0"/>
        <v>767200</v>
      </c>
      <c r="I6" s="342">
        <f t="shared" si="0"/>
        <v>1534000</v>
      </c>
      <c r="J6" s="607"/>
      <c r="K6" s="607"/>
      <c r="L6" s="607"/>
      <c r="M6" s="607"/>
      <c r="N6" s="607"/>
      <c r="O6" s="607"/>
      <c r="P6" s="481"/>
      <c r="Q6" s="476"/>
      <c r="R6" s="476"/>
      <c r="S6" s="476"/>
      <c r="T6" s="476"/>
      <c r="U6" s="607"/>
      <c r="V6" s="607"/>
    </row>
    <row r="7" spans="1:22" x14ac:dyDescent="0.25">
      <c r="A7" s="607"/>
      <c r="B7" s="334" t="s">
        <v>74</v>
      </c>
      <c r="C7" s="607"/>
      <c r="D7" s="607" t="s">
        <v>70</v>
      </c>
      <c r="E7" s="607"/>
      <c r="F7" s="342">
        <f>G52</f>
        <v>4549380.75</v>
      </c>
      <c r="G7" s="342">
        <f>J52</f>
        <v>5339439.666666667</v>
      </c>
      <c r="H7" s="342">
        <f>M52</f>
        <v>8852950.333333334</v>
      </c>
      <c r="I7" s="342">
        <f>P52</f>
        <v>13244838.666666668</v>
      </c>
      <c r="J7" s="607"/>
      <c r="K7" s="607"/>
      <c r="L7" s="607"/>
      <c r="M7" s="607"/>
      <c r="N7" s="607"/>
      <c r="O7" s="607"/>
      <c r="P7" s="481"/>
      <c r="Q7" s="476"/>
      <c r="R7" s="476"/>
      <c r="S7" s="476"/>
      <c r="T7" s="476"/>
      <c r="U7" s="607"/>
      <c r="V7" s="607"/>
    </row>
    <row r="8" spans="1:22" x14ac:dyDescent="0.25">
      <c r="A8" s="607"/>
      <c r="B8" s="334" t="s">
        <v>75</v>
      </c>
      <c r="C8" s="607"/>
      <c r="D8" s="607" t="s">
        <v>231</v>
      </c>
      <c r="E8" s="607"/>
      <c r="F8" s="342">
        <f>G79</f>
        <v>1507533.78</v>
      </c>
      <c r="G8" s="342">
        <f>J79</f>
        <v>2280164.6</v>
      </c>
      <c r="H8" s="342">
        <f>M79</f>
        <v>4503814.5999999996</v>
      </c>
      <c r="I8" s="342">
        <f>P79</f>
        <v>7283377.0999999996</v>
      </c>
      <c r="J8" s="607"/>
      <c r="K8" s="607"/>
      <c r="L8" s="607"/>
      <c r="M8" s="607"/>
      <c r="N8" s="607"/>
      <c r="O8" s="607"/>
      <c r="P8" s="481"/>
      <c r="Q8" s="476"/>
      <c r="R8" s="476"/>
      <c r="S8" s="476"/>
      <c r="T8" s="476"/>
      <c r="U8" s="607"/>
      <c r="V8" s="607"/>
    </row>
    <row r="9" spans="1:22" x14ac:dyDescent="0.25">
      <c r="A9" s="607"/>
      <c r="B9" s="334" t="s">
        <v>76</v>
      </c>
      <c r="C9" s="607"/>
      <c r="D9" s="607" t="s">
        <v>49</v>
      </c>
      <c r="E9" s="607"/>
      <c r="F9" s="342">
        <f>G96</f>
        <v>255202.5</v>
      </c>
      <c r="G9" s="342">
        <f>J96</f>
        <v>916275</v>
      </c>
      <c r="H9" s="342">
        <f>M96</f>
        <v>3854375</v>
      </c>
      <c r="I9" s="342">
        <f>P96</f>
        <v>7527000</v>
      </c>
      <c r="J9" s="607"/>
      <c r="K9" s="607"/>
      <c r="L9" s="607"/>
      <c r="M9" s="607"/>
      <c r="N9" s="607"/>
      <c r="O9" s="607"/>
      <c r="P9" s="481"/>
      <c r="Q9" s="476"/>
      <c r="R9" s="476"/>
      <c r="S9" s="476"/>
      <c r="T9" s="476"/>
      <c r="U9" s="607"/>
      <c r="V9" s="607"/>
    </row>
    <row r="10" spans="1:22" x14ac:dyDescent="0.25">
      <c r="A10" s="607"/>
      <c r="B10" s="334" t="s">
        <v>77</v>
      </c>
      <c r="C10" s="607"/>
      <c r="D10" s="607" t="s">
        <v>50</v>
      </c>
      <c r="E10" s="607"/>
      <c r="F10" s="342">
        <f>F104</f>
        <v>255202.5</v>
      </c>
      <c r="G10" s="342">
        <f>G104</f>
        <v>916275</v>
      </c>
      <c r="H10" s="342">
        <f>H104</f>
        <v>3854375</v>
      </c>
      <c r="I10" s="342">
        <f>I104</f>
        <v>7527000</v>
      </c>
      <c r="J10" s="607"/>
      <c r="K10" s="607"/>
      <c r="L10" s="607"/>
      <c r="M10" s="607"/>
      <c r="N10" s="607"/>
      <c r="O10" s="607"/>
      <c r="P10" s="607"/>
      <c r="Q10" s="607"/>
      <c r="R10" s="607"/>
      <c r="S10" s="607"/>
      <c r="T10" s="607"/>
      <c r="U10" s="607"/>
      <c r="V10" s="607"/>
    </row>
    <row r="11" spans="1:22" x14ac:dyDescent="0.25">
      <c r="A11" s="607"/>
      <c r="B11" s="607"/>
      <c r="C11" s="607"/>
      <c r="D11" s="607"/>
      <c r="E11" s="607"/>
      <c r="F11" s="607"/>
      <c r="G11" s="607"/>
      <c r="H11" s="607"/>
      <c r="I11" s="607"/>
      <c r="J11" s="607"/>
      <c r="K11" s="607"/>
      <c r="L11" s="607"/>
      <c r="M11" s="607"/>
      <c r="N11" s="607"/>
      <c r="O11" s="607"/>
      <c r="P11" s="607"/>
      <c r="Q11" s="607"/>
      <c r="R11" s="607"/>
      <c r="S11" s="607"/>
      <c r="T11" s="607"/>
      <c r="U11" s="607"/>
      <c r="V11" s="607"/>
    </row>
    <row r="12" spans="1:22" x14ac:dyDescent="0.25">
      <c r="A12" s="607"/>
      <c r="B12" s="321" t="s">
        <v>80</v>
      </c>
      <c r="C12" s="321"/>
      <c r="D12" s="321"/>
      <c r="E12" s="321"/>
      <c r="F12" s="325">
        <f>SUM(F5:F10)</f>
        <v>7264069.5300000003</v>
      </c>
      <c r="G12" s="325">
        <f t="shared" ref="G12:I12" si="1">SUM(G5:G10)</f>
        <v>10516854.266666668</v>
      </c>
      <c r="H12" s="325">
        <f t="shared" si="1"/>
        <v>23320214.933333334</v>
      </c>
      <c r="I12" s="325">
        <f t="shared" si="1"/>
        <v>40091215.766666666</v>
      </c>
      <c r="J12" s="607"/>
      <c r="K12" s="607"/>
      <c r="L12" s="607"/>
      <c r="M12" s="607"/>
      <c r="N12" s="607"/>
      <c r="O12" s="607"/>
      <c r="P12" s="607"/>
      <c r="Q12" s="607"/>
      <c r="R12" s="607"/>
      <c r="S12" s="607"/>
      <c r="T12" s="607"/>
      <c r="U12" s="607"/>
      <c r="V12" s="607"/>
    </row>
    <row r="13" spans="1:22" x14ac:dyDescent="0.25">
      <c r="A13" s="607"/>
      <c r="B13" s="607"/>
      <c r="C13" s="607"/>
      <c r="D13" s="607"/>
      <c r="E13" s="607"/>
      <c r="F13" s="607"/>
      <c r="G13" s="607"/>
      <c r="H13" s="607"/>
      <c r="I13" s="607"/>
      <c r="J13" s="339"/>
      <c r="K13" s="339"/>
      <c r="L13" s="339"/>
      <c r="M13" s="339"/>
      <c r="N13" s="339"/>
      <c r="O13" s="339"/>
      <c r="P13" s="607"/>
      <c r="Q13" s="607"/>
      <c r="R13" s="607"/>
      <c r="S13" s="607"/>
      <c r="T13" s="607"/>
      <c r="U13" s="607"/>
      <c r="V13" s="607"/>
    </row>
    <row r="14" spans="1:22" x14ac:dyDescent="0.25">
      <c r="A14" s="607"/>
      <c r="B14" s="607"/>
      <c r="C14" s="607"/>
      <c r="D14" s="607"/>
      <c r="E14" s="607"/>
      <c r="F14" s="322"/>
      <c r="G14" s="341" t="s">
        <v>259</v>
      </c>
      <c r="H14" s="322" t="s">
        <v>65</v>
      </c>
      <c r="I14" s="361"/>
      <c r="K14" s="339"/>
      <c r="L14" s="339"/>
      <c r="M14" s="339"/>
      <c r="N14" s="339"/>
      <c r="O14" s="339"/>
      <c r="P14" s="607"/>
      <c r="Q14" s="607"/>
      <c r="R14" s="607"/>
      <c r="S14" s="607"/>
      <c r="T14" s="607"/>
      <c r="U14" s="607"/>
      <c r="V14" s="607"/>
    </row>
    <row r="15" spans="1:22" x14ac:dyDescent="0.25">
      <c r="A15" s="424" t="s">
        <v>72</v>
      </c>
      <c r="B15" s="424" t="s">
        <v>90</v>
      </c>
      <c r="C15" s="340"/>
      <c r="D15" s="340"/>
      <c r="F15" s="515">
        <v>1</v>
      </c>
      <c r="G15" s="515">
        <v>10</v>
      </c>
      <c r="H15" s="515">
        <v>50</v>
      </c>
      <c r="I15" s="515">
        <v>100</v>
      </c>
      <c r="K15" s="339"/>
      <c r="L15" s="339"/>
      <c r="M15" s="339"/>
      <c r="N15" s="339"/>
      <c r="O15" s="339"/>
      <c r="P15" s="607"/>
      <c r="Q15" s="607"/>
      <c r="R15" s="607"/>
      <c r="S15" s="607"/>
      <c r="T15" s="607"/>
      <c r="U15" s="607"/>
      <c r="V15" s="607"/>
    </row>
    <row r="16" spans="1:22" x14ac:dyDescent="0.25">
      <c r="A16" s="424"/>
      <c r="B16" s="424"/>
      <c r="C16" s="340"/>
      <c r="D16" s="340"/>
      <c r="F16" s="329"/>
      <c r="G16" s="341"/>
      <c r="H16" s="341"/>
      <c r="I16" s="341"/>
      <c r="K16" s="339"/>
      <c r="L16" s="339"/>
      <c r="M16" s="339"/>
      <c r="N16" s="339"/>
      <c r="O16" s="339"/>
      <c r="P16" s="607"/>
      <c r="Q16" s="607"/>
      <c r="R16" s="607"/>
      <c r="S16" s="607"/>
      <c r="T16" s="607"/>
      <c r="U16" s="607"/>
      <c r="V16" s="607"/>
    </row>
    <row r="17" spans="1:22" x14ac:dyDescent="0.25">
      <c r="A17" s="424"/>
      <c r="B17" s="340" t="s">
        <v>310</v>
      </c>
      <c r="C17" s="340"/>
      <c r="D17" s="340"/>
      <c r="F17" s="516">
        <v>29750</v>
      </c>
      <c r="G17" s="516">
        <f>F17*G15</f>
        <v>297500</v>
      </c>
      <c r="H17" s="516">
        <f>F17*H15</f>
        <v>1487500</v>
      </c>
      <c r="I17" s="516">
        <f>F17*I15</f>
        <v>2975000</v>
      </c>
      <c r="K17" s="339"/>
      <c r="L17" s="339"/>
      <c r="M17" s="339"/>
      <c r="N17" s="339"/>
      <c r="O17" s="339"/>
      <c r="P17" s="607"/>
      <c r="Q17" s="607"/>
      <c r="R17" s="607"/>
      <c r="S17" s="607"/>
      <c r="T17" s="607"/>
      <c r="U17" s="607"/>
      <c r="V17" s="607"/>
    </row>
    <row r="18" spans="1:22" x14ac:dyDescent="0.25">
      <c r="A18" s="424"/>
      <c r="B18" s="340" t="s">
        <v>309</v>
      </c>
      <c r="C18" s="340"/>
      <c r="D18" s="340"/>
      <c r="F18" s="329"/>
      <c r="G18" s="341"/>
      <c r="H18" s="341"/>
      <c r="I18" s="341"/>
      <c r="K18" s="339"/>
      <c r="L18" s="339"/>
      <c r="M18" s="339"/>
      <c r="N18" s="339"/>
      <c r="O18" s="339"/>
      <c r="P18" s="607"/>
      <c r="Q18" s="607"/>
      <c r="R18" s="607"/>
      <c r="S18" s="607"/>
      <c r="T18" s="607"/>
      <c r="U18" s="607"/>
      <c r="V18" s="607"/>
    </row>
    <row r="19" spans="1:22" x14ac:dyDescent="0.25">
      <c r="A19" s="340"/>
      <c r="B19" s="340"/>
      <c r="C19" s="340"/>
      <c r="D19" s="340"/>
      <c r="E19" s="607"/>
      <c r="F19" s="607"/>
      <c r="G19" s="607"/>
      <c r="H19" s="607"/>
      <c r="I19" s="607"/>
      <c r="K19" s="339"/>
      <c r="L19" s="339"/>
      <c r="M19" s="339"/>
      <c r="N19" s="339"/>
      <c r="O19" s="339"/>
      <c r="P19" s="607"/>
      <c r="Q19" s="607"/>
      <c r="R19" s="607"/>
      <c r="S19" s="607"/>
      <c r="T19" s="607"/>
      <c r="U19" s="607"/>
      <c r="V19" s="607"/>
    </row>
    <row r="20" spans="1:22" x14ac:dyDescent="0.25">
      <c r="A20" s="340"/>
      <c r="B20" s="528" t="s">
        <v>80</v>
      </c>
      <c r="C20" s="528"/>
      <c r="D20" s="528"/>
      <c r="E20" s="321"/>
      <c r="F20" s="325">
        <f>SUM(F17:F18)</f>
        <v>29750</v>
      </c>
      <c r="G20" s="325">
        <f t="shared" ref="G20:I20" si="2">SUM(G17:G18)</f>
        <v>297500</v>
      </c>
      <c r="H20" s="325">
        <f t="shared" si="2"/>
        <v>1487500</v>
      </c>
      <c r="I20" s="325">
        <f t="shared" si="2"/>
        <v>2975000</v>
      </c>
      <c r="K20" s="339"/>
      <c r="L20" s="339"/>
      <c r="M20" s="339"/>
      <c r="N20" s="339"/>
      <c r="O20" s="339"/>
      <c r="P20" s="607"/>
      <c r="Q20" s="607"/>
      <c r="R20" s="607"/>
      <c r="S20" s="607"/>
      <c r="T20" s="607"/>
      <c r="U20" s="607"/>
      <c r="V20" s="607"/>
    </row>
    <row r="21" spans="1:22" x14ac:dyDescent="0.25">
      <c r="A21" s="340"/>
      <c r="B21" s="340"/>
      <c r="C21" s="340"/>
      <c r="D21" s="340"/>
      <c r="E21" s="607"/>
      <c r="F21" s="322"/>
      <c r="G21" s="322"/>
      <c r="H21" s="322"/>
      <c r="I21" s="361"/>
      <c r="K21" s="327"/>
      <c r="L21" s="327"/>
      <c r="M21" s="327"/>
      <c r="N21" s="327"/>
      <c r="O21" s="339"/>
      <c r="P21" s="607"/>
      <c r="Q21" s="607"/>
      <c r="R21" s="607"/>
      <c r="S21" s="607"/>
      <c r="T21" s="607"/>
      <c r="U21" s="607"/>
      <c r="V21" s="607"/>
    </row>
    <row r="22" spans="1:22" x14ac:dyDescent="0.25">
      <c r="A22" s="340"/>
      <c r="B22" s="340"/>
      <c r="C22" s="340"/>
      <c r="D22" s="340"/>
      <c r="E22" s="422"/>
      <c r="G22" s="96" t="s">
        <v>259</v>
      </c>
      <c r="H22" s="389" t="s">
        <v>65</v>
      </c>
      <c r="I22" s="389"/>
      <c r="K22" s="422"/>
      <c r="L22" s="422"/>
      <c r="M22" s="422"/>
      <c r="N22" s="422"/>
      <c r="O22" s="422"/>
      <c r="P22" s="422"/>
      <c r="Q22" s="422"/>
      <c r="R22" s="422"/>
      <c r="S22" s="422"/>
      <c r="T22" s="422"/>
      <c r="U22" s="422"/>
      <c r="V22" s="422"/>
    </row>
    <row r="23" spans="1:22" x14ac:dyDescent="0.25">
      <c r="A23" s="424" t="s">
        <v>73</v>
      </c>
      <c r="B23" s="424" t="s">
        <v>233</v>
      </c>
      <c r="C23" s="340"/>
      <c r="D23" s="340"/>
      <c r="E23" s="422"/>
      <c r="F23" s="515">
        <v>1</v>
      </c>
      <c r="G23" s="515">
        <v>10</v>
      </c>
      <c r="H23" s="515">
        <v>50</v>
      </c>
      <c r="I23" s="515">
        <v>100</v>
      </c>
      <c r="K23" s="421"/>
      <c r="L23" s="421"/>
      <c r="M23" s="421"/>
      <c r="N23" s="421"/>
      <c r="O23" s="421"/>
      <c r="P23" s="421"/>
      <c r="Q23" s="414"/>
      <c r="R23" s="414"/>
      <c r="S23" s="421"/>
      <c r="T23" s="421"/>
      <c r="U23" s="421"/>
      <c r="V23" s="422"/>
    </row>
    <row r="24" spans="1:22" x14ac:dyDescent="0.25">
      <c r="A24" s="424"/>
      <c r="B24" s="424"/>
      <c r="C24" s="340"/>
      <c r="D24" s="340"/>
      <c r="E24" s="422"/>
      <c r="F24" s="422"/>
      <c r="G24" s="329"/>
      <c r="H24" s="341"/>
      <c r="I24" s="341"/>
      <c r="J24" s="341"/>
      <c r="K24" s="421"/>
      <c r="L24" s="421"/>
      <c r="M24" s="421"/>
      <c r="N24" s="421"/>
      <c r="O24" s="421"/>
      <c r="P24" s="421"/>
      <c r="Q24" s="414"/>
      <c r="R24" s="414"/>
      <c r="S24" s="421"/>
      <c r="T24" s="421"/>
      <c r="U24" s="421"/>
      <c r="V24" s="422"/>
    </row>
    <row r="25" spans="1:22" x14ac:dyDescent="0.25">
      <c r="A25" s="986"/>
      <c r="B25" s="986" t="s">
        <v>311</v>
      </c>
      <c r="C25" s="986"/>
      <c r="D25" s="986"/>
      <c r="G25" s="389"/>
      <c r="H25" s="389"/>
      <c r="I25" s="389"/>
      <c r="J25" s="341"/>
      <c r="K25" s="421"/>
      <c r="L25" s="421"/>
      <c r="M25" s="421"/>
      <c r="N25" s="421"/>
      <c r="O25" s="421"/>
      <c r="P25" s="421"/>
      <c r="Q25" s="414"/>
      <c r="R25" s="414"/>
      <c r="S25" s="421"/>
      <c r="T25" s="421"/>
      <c r="U25" s="421"/>
      <c r="V25" s="422"/>
    </row>
    <row r="26" spans="1:22" x14ac:dyDescent="0.25">
      <c r="A26" s="986"/>
      <c r="B26" s="986" t="s">
        <v>312</v>
      </c>
      <c r="C26" s="986"/>
      <c r="D26" s="986"/>
      <c r="G26" s="389"/>
      <c r="H26" s="389"/>
      <c r="I26" s="389"/>
      <c r="J26" s="341"/>
      <c r="K26" s="421"/>
      <c r="L26" s="421"/>
      <c r="M26" s="421"/>
      <c r="N26" s="421"/>
      <c r="O26" s="421"/>
      <c r="P26" s="421"/>
      <c r="Q26" s="414"/>
      <c r="R26" s="414"/>
      <c r="S26" s="421"/>
      <c r="T26" s="421"/>
      <c r="U26" s="421"/>
      <c r="V26" s="422"/>
    </row>
    <row r="27" spans="1:22" x14ac:dyDescent="0.25">
      <c r="A27" s="986"/>
      <c r="B27" s="986" t="s">
        <v>313</v>
      </c>
      <c r="C27" s="986"/>
      <c r="D27" s="986"/>
      <c r="G27" s="389"/>
      <c r="H27" s="389"/>
      <c r="I27" s="389"/>
      <c r="J27" s="341"/>
      <c r="K27" s="421"/>
      <c r="L27" s="421"/>
      <c r="M27" s="421"/>
      <c r="N27" s="421"/>
      <c r="O27" s="421"/>
      <c r="P27" s="421"/>
      <c r="Q27" s="414"/>
      <c r="R27" s="414"/>
      <c r="S27" s="421"/>
      <c r="T27" s="421"/>
      <c r="U27" s="421"/>
      <c r="V27" s="422"/>
    </row>
    <row r="28" spans="1:22" ht="14.45" x14ac:dyDescent="0.3">
      <c r="A28" s="986"/>
      <c r="B28" s="1214" t="s">
        <v>314</v>
      </c>
      <c r="C28" s="986"/>
      <c r="D28" s="986"/>
      <c r="G28" s="389"/>
      <c r="H28" s="389"/>
      <c r="I28" s="389"/>
      <c r="J28" s="341"/>
      <c r="K28" s="421"/>
      <c r="L28" s="421"/>
      <c r="M28" s="421"/>
      <c r="N28" s="421"/>
      <c r="O28" s="421"/>
      <c r="P28" s="421"/>
      <c r="Q28" s="414"/>
      <c r="R28" s="414"/>
      <c r="S28" s="421"/>
      <c r="T28" s="421"/>
      <c r="U28" s="421"/>
      <c r="V28" s="422"/>
    </row>
    <row r="29" spans="1:22" ht="14.45" x14ac:dyDescent="0.3">
      <c r="A29" s="986"/>
      <c r="B29" s="1214" t="s">
        <v>315</v>
      </c>
      <c r="C29" s="986"/>
      <c r="D29" s="986"/>
      <c r="G29" s="389"/>
      <c r="H29" s="389"/>
      <c r="I29" s="389"/>
      <c r="J29" s="341"/>
      <c r="K29" s="421"/>
      <c r="L29" s="421"/>
      <c r="M29" s="421"/>
      <c r="N29" s="421"/>
      <c r="O29" s="421"/>
      <c r="P29" s="421"/>
      <c r="Q29" s="414"/>
      <c r="R29" s="414"/>
      <c r="S29" s="421"/>
      <c r="T29" s="421"/>
      <c r="U29" s="421"/>
      <c r="V29" s="422"/>
    </row>
    <row r="30" spans="1:22" ht="14.45" x14ac:dyDescent="0.3">
      <c r="A30" s="986"/>
      <c r="B30" s="1214" t="s">
        <v>320</v>
      </c>
      <c r="C30" s="986"/>
      <c r="D30" s="986"/>
      <c r="G30" s="389"/>
      <c r="H30" s="389"/>
      <c r="I30" s="389"/>
      <c r="J30" s="341"/>
      <c r="K30" s="421"/>
      <c r="L30" s="421"/>
      <c r="M30" s="421"/>
      <c r="N30" s="421"/>
      <c r="O30" s="421"/>
      <c r="P30" s="421"/>
      <c r="Q30" s="414"/>
      <c r="R30" s="414"/>
      <c r="S30" s="421"/>
      <c r="T30" s="421"/>
      <c r="U30" s="421"/>
      <c r="V30" s="422"/>
    </row>
    <row r="31" spans="1:22" ht="14.45" x14ac:dyDescent="0.3">
      <c r="A31" s="986"/>
      <c r="B31" s="1214" t="s">
        <v>318</v>
      </c>
      <c r="C31" s="986"/>
      <c r="D31" s="986"/>
      <c r="G31" s="389"/>
      <c r="H31" s="389"/>
      <c r="I31" s="389"/>
      <c r="J31" s="341"/>
      <c r="K31" s="421"/>
      <c r="L31" s="421"/>
      <c r="M31" s="421"/>
      <c r="N31" s="421"/>
      <c r="O31" s="421"/>
      <c r="P31" s="421"/>
      <c r="Q31" s="414"/>
      <c r="R31" s="414"/>
      <c r="S31" s="421"/>
      <c r="T31" s="421"/>
      <c r="U31" s="421"/>
      <c r="V31" s="422"/>
    </row>
    <row r="32" spans="1:22" ht="14.45" x14ac:dyDescent="0.3">
      <c r="A32" s="986"/>
      <c r="B32" s="1214" t="s">
        <v>316</v>
      </c>
      <c r="C32" s="986"/>
      <c r="D32" s="986"/>
      <c r="G32" s="389"/>
      <c r="H32" s="389"/>
      <c r="I32" s="389"/>
      <c r="J32" s="519"/>
      <c r="K32" s="421"/>
      <c r="L32" s="421"/>
      <c r="M32" s="421"/>
      <c r="N32" s="421"/>
      <c r="O32" s="421"/>
      <c r="P32" s="421"/>
      <c r="Q32" s="414"/>
      <c r="R32" s="414"/>
      <c r="S32" s="421"/>
      <c r="T32" s="421"/>
      <c r="U32" s="421"/>
      <c r="V32" s="422"/>
    </row>
    <row r="33" spans="1:22" ht="14.45" x14ac:dyDescent="0.3">
      <c r="A33" s="986"/>
      <c r="B33" s="1214"/>
      <c r="C33" s="986"/>
      <c r="D33" s="986"/>
      <c r="F33" s="407"/>
      <c r="G33" s="96"/>
      <c r="H33" s="96"/>
      <c r="I33" s="96"/>
      <c r="J33" s="339"/>
      <c r="K33" s="421"/>
      <c r="L33" s="421"/>
      <c r="M33" s="421"/>
      <c r="N33" s="421"/>
      <c r="O33" s="421"/>
      <c r="P33" s="421"/>
      <c r="Q33" s="414"/>
      <c r="R33" s="414"/>
      <c r="S33" s="421"/>
      <c r="T33" s="421"/>
      <c r="U33" s="421"/>
      <c r="V33" s="422"/>
    </row>
    <row r="34" spans="1:22" ht="14.45" x14ac:dyDescent="0.3">
      <c r="A34" s="986"/>
      <c r="B34" s="897" t="s">
        <v>317</v>
      </c>
      <c r="C34" s="897"/>
      <c r="D34" s="897"/>
      <c r="E34" s="288"/>
      <c r="F34" s="518">
        <v>667000</v>
      </c>
      <c r="G34" s="518">
        <v>767200</v>
      </c>
      <c r="H34" s="518">
        <f>G34</f>
        <v>767200</v>
      </c>
      <c r="I34" s="518">
        <v>1534000</v>
      </c>
      <c r="J34" s="337"/>
      <c r="K34" s="421"/>
      <c r="L34" s="421"/>
      <c r="M34" s="421"/>
      <c r="N34" s="421"/>
      <c r="O34" s="421"/>
      <c r="P34" s="421"/>
      <c r="Q34" s="414"/>
      <c r="R34" s="420"/>
      <c r="S34" s="419"/>
      <c r="T34" s="421"/>
      <c r="U34" s="421"/>
      <c r="V34" s="422"/>
    </row>
    <row r="35" spans="1:22" ht="14.45" x14ac:dyDescent="0.3">
      <c r="A35" s="340"/>
      <c r="B35" s="913"/>
      <c r="C35" s="913"/>
      <c r="D35" s="913"/>
      <c r="E35" s="339"/>
      <c r="F35" s="339"/>
      <c r="G35" s="339"/>
      <c r="H35" s="339"/>
      <c r="I35" s="339"/>
      <c r="J35" s="339"/>
      <c r="K35" s="360"/>
      <c r="L35" s="339"/>
      <c r="M35" s="339"/>
      <c r="N35" s="339"/>
      <c r="O35" s="339"/>
      <c r="P35" s="339"/>
      <c r="Q35" s="339"/>
      <c r="R35" s="339"/>
      <c r="S35" s="339"/>
      <c r="T35" s="339"/>
      <c r="U35" s="339"/>
      <c r="V35" s="607"/>
    </row>
    <row r="36" spans="1:22" ht="14.45" x14ac:dyDescent="0.3">
      <c r="A36" s="340"/>
      <c r="B36" s="913"/>
      <c r="C36" s="913"/>
      <c r="D36" s="913"/>
      <c r="E36" s="339"/>
      <c r="G36" s="96" t="s">
        <v>259</v>
      </c>
      <c r="H36" s="389" t="s">
        <v>65</v>
      </c>
      <c r="I36" s="389"/>
      <c r="J36" s="339"/>
      <c r="K36" s="360"/>
      <c r="L36" s="339"/>
      <c r="M36" s="339"/>
      <c r="N36" s="339"/>
      <c r="O36" s="339"/>
      <c r="P36" s="339"/>
      <c r="Q36" s="339"/>
      <c r="R36" s="339"/>
      <c r="S36" s="339"/>
      <c r="T36" s="339"/>
      <c r="U36" s="339"/>
      <c r="V36" s="607"/>
    </row>
    <row r="37" spans="1:22" ht="14.45" x14ac:dyDescent="0.3">
      <c r="A37" s="424" t="s">
        <v>74</v>
      </c>
      <c r="B37" s="424" t="s">
        <v>232</v>
      </c>
      <c r="C37" s="340"/>
      <c r="D37" s="340"/>
      <c r="E37" s="340"/>
      <c r="F37" s="515">
        <v>1</v>
      </c>
      <c r="G37" s="515">
        <v>10</v>
      </c>
      <c r="H37" s="515">
        <v>50</v>
      </c>
      <c r="I37" s="515">
        <v>100</v>
      </c>
      <c r="K37" s="421"/>
      <c r="L37" s="340"/>
      <c r="M37" s="607"/>
      <c r="N37" s="607"/>
      <c r="O37" s="607"/>
      <c r="P37" s="607"/>
      <c r="Q37" s="607"/>
      <c r="R37" s="607"/>
      <c r="S37" s="607"/>
      <c r="T37" s="607"/>
      <c r="U37" s="607"/>
      <c r="V37" s="607"/>
    </row>
    <row r="38" spans="1:22" ht="14.45" x14ac:dyDescent="0.3">
      <c r="A38" s="424"/>
      <c r="B38" s="424"/>
      <c r="C38" s="340"/>
      <c r="D38" s="340"/>
      <c r="E38" s="340"/>
      <c r="F38" s="329"/>
      <c r="G38" s="341"/>
      <c r="H38" s="341"/>
      <c r="I38" s="341"/>
      <c r="K38" s="421"/>
      <c r="L38" s="340"/>
      <c r="M38" s="607"/>
      <c r="N38" s="607"/>
      <c r="O38" s="607"/>
      <c r="P38" s="607"/>
      <c r="Q38" s="607"/>
      <c r="R38" s="607"/>
      <c r="S38" s="607"/>
      <c r="T38" s="607"/>
      <c r="U38" s="607"/>
      <c r="V38" s="607"/>
    </row>
    <row r="39" spans="1:22" ht="14.45" x14ac:dyDescent="0.3">
      <c r="A39" s="424"/>
      <c r="B39" s="340" t="s">
        <v>311</v>
      </c>
      <c r="C39" s="340"/>
      <c r="D39" s="340"/>
      <c r="E39" s="340"/>
      <c r="F39" s="329"/>
      <c r="G39" s="341"/>
      <c r="H39" s="341"/>
      <c r="I39" s="341"/>
      <c r="K39" s="421"/>
      <c r="L39" s="340"/>
      <c r="M39" s="607"/>
      <c r="N39" s="607"/>
      <c r="O39" s="607"/>
      <c r="P39" s="607"/>
      <c r="Q39" s="607"/>
      <c r="R39" s="607"/>
      <c r="S39" s="607"/>
      <c r="T39" s="607"/>
      <c r="U39" s="607"/>
      <c r="V39" s="607"/>
    </row>
    <row r="40" spans="1:22" ht="14.45" x14ac:dyDescent="0.3">
      <c r="A40" s="424"/>
      <c r="B40" s="340" t="s">
        <v>321</v>
      </c>
      <c r="C40" s="340"/>
      <c r="D40" s="340"/>
      <c r="E40" s="340"/>
      <c r="F40" s="329"/>
      <c r="G40" s="341"/>
      <c r="H40" s="341"/>
      <c r="I40" s="341"/>
      <c r="K40" s="421"/>
      <c r="L40" s="340"/>
      <c r="M40" s="607"/>
      <c r="N40" s="607"/>
      <c r="O40" s="607"/>
      <c r="P40" s="607"/>
      <c r="Q40" s="607"/>
      <c r="R40" s="607"/>
      <c r="S40" s="607"/>
      <c r="T40" s="607"/>
      <c r="U40" s="607"/>
      <c r="V40" s="607"/>
    </row>
    <row r="41" spans="1:22" ht="14.45" x14ac:dyDescent="0.3">
      <c r="A41" s="424"/>
      <c r="B41" s="424" t="s">
        <v>319</v>
      </c>
      <c r="C41" s="340"/>
      <c r="D41" s="340"/>
      <c r="E41" s="340"/>
      <c r="F41" s="329"/>
      <c r="G41" s="341"/>
      <c r="H41" s="341"/>
      <c r="I41" s="341"/>
      <c r="K41" s="421"/>
      <c r="L41" s="340"/>
      <c r="M41" s="607"/>
      <c r="N41" s="607"/>
      <c r="O41" s="607"/>
      <c r="P41" s="607"/>
      <c r="Q41" s="607"/>
      <c r="R41" s="607"/>
      <c r="S41" s="607"/>
      <c r="T41" s="607"/>
      <c r="U41" s="607"/>
      <c r="V41" s="607"/>
    </row>
    <row r="42" spans="1:22" ht="14.45" x14ac:dyDescent="0.3">
      <c r="A42" s="424"/>
      <c r="B42" s="340" t="s">
        <v>322</v>
      </c>
      <c r="C42" s="340"/>
      <c r="D42" s="340"/>
      <c r="E42" s="340"/>
      <c r="F42" s="329"/>
      <c r="G42" s="341"/>
      <c r="H42" s="341"/>
      <c r="I42" s="341"/>
      <c r="K42" s="421"/>
      <c r="L42" s="340"/>
      <c r="M42" s="607"/>
      <c r="N42" s="607"/>
      <c r="O42" s="607"/>
      <c r="P42" s="607"/>
      <c r="Q42" s="607"/>
      <c r="R42" s="607"/>
      <c r="S42" s="607"/>
      <c r="T42" s="607"/>
      <c r="U42" s="607"/>
      <c r="V42" s="607"/>
    </row>
    <row r="43" spans="1:22" ht="14.45" x14ac:dyDescent="0.3">
      <c r="A43" s="424"/>
      <c r="B43" s="424"/>
      <c r="C43" s="340"/>
      <c r="D43" s="340"/>
      <c r="E43" s="340"/>
      <c r="F43" s="521" t="s">
        <v>97</v>
      </c>
      <c r="G43" s="522"/>
      <c r="H43" s="522"/>
      <c r="I43" s="522" t="s">
        <v>87</v>
      </c>
      <c r="J43" s="705"/>
      <c r="K43" s="414"/>
      <c r="L43" s="523" t="s">
        <v>88</v>
      </c>
      <c r="M43" s="521"/>
      <c r="O43" s="521" t="s">
        <v>89</v>
      </c>
      <c r="P43" s="607"/>
      <c r="Q43" s="607"/>
      <c r="R43" s="607"/>
      <c r="S43" s="607"/>
      <c r="T43" s="607"/>
      <c r="U43" s="607"/>
      <c r="V43" s="607"/>
    </row>
    <row r="44" spans="1:22" ht="14.45" x14ac:dyDescent="0.3">
      <c r="A44" s="424"/>
      <c r="B44" s="424"/>
      <c r="C44" s="340"/>
      <c r="D44" s="340"/>
      <c r="E44" s="520" t="s">
        <v>329</v>
      </c>
      <c r="F44" s="407" t="s">
        <v>328</v>
      </c>
      <c r="G44" s="329" t="s">
        <v>78</v>
      </c>
      <c r="H44" s="520" t="s">
        <v>329</v>
      </c>
      <c r="I44" s="407" t="s">
        <v>328</v>
      </c>
      <c r="J44" s="329" t="s">
        <v>78</v>
      </c>
      <c r="K44" s="520" t="s">
        <v>329</v>
      </c>
      <c r="L44" s="407" t="s">
        <v>328</v>
      </c>
      <c r="M44" s="329" t="s">
        <v>78</v>
      </c>
      <c r="N44" s="520" t="s">
        <v>329</v>
      </c>
      <c r="O44" s="407" t="s">
        <v>328</v>
      </c>
      <c r="P44" s="329" t="s">
        <v>78</v>
      </c>
      <c r="Q44" s="607"/>
      <c r="R44" s="607"/>
      <c r="S44" s="607"/>
      <c r="T44" s="607"/>
      <c r="U44" s="607"/>
      <c r="V44" s="607"/>
    </row>
    <row r="45" spans="1:22" ht="14.45" x14ac:dyDescent="0.3">
      <c r="A45" s="424"/>
      <c r="B45" s="340">
        <v>1</v>
      </c>
      <c r="C45" s="340" t="s">
        <v>349</v>
      </c>
      <c r="D45" s="340"/>
      <c r="E45" s="340">
        <f>1.5*45.83</f>
        <v>68.745000000000005</v>
      </c>
      <c r="F45" s="401">
        <f>G45/E45</f>
        <v>58754.265764782889</v>
      </c>
      <c r="G45" s="516">
        <f>2692708*1.5</f>
        <v>4039062</v>
      </c>
      <c r="H45" s="340">
        <f>E45</f>
        <v>68.745000000000005</v>
      </c>
      <c r="I45" s="401">
        <f>J45/H45</f>
        <v>58754.265764782889</v>
      </c>
      <c r="J45" s="516">
        <f>1.5*2692708</f>
        <v>4039062</v>
      </c>
      <c r="K45" s="340">
        <f>E45</f>
        <v>68.745000000000005</v>
      </c>
      <c r="L45" s="401">
        <f>M45/K45</f>
        <v>58754.265764782889</v>
      </c>
      <c r="M45" s="516">
        <f>1.5*2692708</f>
        <v>4039062</v>
      </c>
      <c r="N45" s="340">
        <f>E45</f>
        <v>68.745000000000005</v>
      </c>
      <c r="O45" s="401">
        <f>P45/N45</f>
        <v>58754.265764782889</v>
      </c>
      <c r="P45" s="516">
        <f>1.5*2692708</f>
        <v>4039062</v>
      </c>
      <c r="Q45" s="607"/>
      <c r="R45" s="607"/>
      <c r="S45" s="607"/>
      <c r="T45" s="607"/>
      <c r="U45" s="607"/>
      <c r="V45" s="607"/>
    </row>
    <row r="46" spans="1:22" ht="14.45" x14ac:dyDescent="0.3">
      <c r="A46" s="424"/>
      <c r="B46" s="340">
        <v>2</v>
      </c>
      <c r="C46" s="340" t="s">
        <v>323</v>
      </c>
      <c r="D46" s="340"/>
      <c r="E46" s="340">
        <v>4</v>
      </c>
      <c r="G46" s="516">
        <v>422000</v>
      </c>
      <c r="H46" s="340">
        <v>4</v>
      </c>
      <c r="J46" s="516">
        <v>422000</v>
      </c>
      <c r="K46" s="340">
        <v>4</v>
      </c>
      <c r="M46" s="516">
        <v>422000</v>
      </c>
      <c r="N46" s="340">
        <v>4</v>
      </c>
      <c r="P46" s="516">
        <v>422000</v>
      </c>
      <c r="Q46" s="607"/>
      <c r="R46" s="607"/>
      <c r="S46" s="607"/>
      <c r="T46" s="607"/>
      <c r="U46" s="607"/>
      <c r="V46" s="607"/>
    </row>
    <row r="47" spans="1:22" ht="14.45" x14ac:dyDescent="0.3">
      <c r="A47" s="424"/>
      <c r="B47" s="340">
        <v>3</v>
      </c>
      <c r="C47" s="340" t="s">
        <v>324</v>
      </c>
      <c r="D47" s="340"/>
      <c r="E47" s="340"/>
      <c r="G47" s="516">
        <v>7350</v>
      </c>
      <c r="H47" s="341"/>
      <c r="I47" s="341"/>
      <c r="J47" s="401">
        <v>73500</v>
      </c>
      <c r="K47" s="340"/>
      <c r="M47" s="516">
        <f>J47*5</f>
        <v>367500</v>
      </c>
      <c r="N47" s="340"/>
      <c r="P47" s="516">
        <f>M47*2</f>
        <v>735000</v>
      </c>
      <c r="Q47" s="607"/>
      <c r="R47" s="607"/>
      <c r="S47" s="607"/>
      <c r="T47" s="607"/>
      <c r="U47" s="607"/>
      <c r="V47" s="607"/>
    </row>
    <row r="48" spans="1:22" ht="14.45" x14ac:dyDescent="0.3">
      <c r="A48" s="424"/>
      <c r="B48" s="340">
        <v>4</v>
      </c>
      <c r="C48" s="340" t="s">
        <v>325</v>
      </c>
      <c r="D48" s="340"/>
      <c r="E48" s="340">
        <v>0.37</v>
      </c>
      <c r="F48" s="401">
        <v>70485</v>
      </c>
      <c r="G48" s="516">
        <f>E48*F48</f>
        <v>26079.45</v>
      </c>
      <c r="H48" s="524">
        <v>3.666666666666667</v>
      </c>
      <c r="I48" s="401">
        <v>70485</v>
      </c>
      <c r="J48" s="401">
        <f>H48*I48</f>
        <v>258445.00000000003</v>
      </c>
      <c r="K48" s="526">
        <f>H48*5</f>
        <v>18.333333333333336</v>
      </c>
      <c r="L48" s="401">
        <v>70485</v>
      </c>
      <c r="M48" s="525">
        <f>K48*L48</f>
        <v>1292225.0000000002</v>
      </c>
      <c r="N48" s="527">
        <f>K48*2</f>
        <v>36.666666666666671</v>
      </c>
      <c r="O48" s="525">
        <v>70485</v>
      </c>
      <c r="P48" s="525">
        <f>N48*O48</f>
        <v>2584450.0000000005</v>
      </c>
      <c r="Q48" s="607"/>
      <c r="R48" s="607"/>
      <c r="S48" s="607"/>
      <c r="T48" s="607"/>
      <c r="U48" s="607"/>
      <c r="V48" s="607"/>
    </row>
    <row r="49" spans="1:22" ht="14.45" x14ac:dyDescent="0.3">
      <c r="A49" s="424"/>
      <c r="B49" s="340">
        <v>5</v>
      </c>
      <c r="C49" s="340" t="s">
        <v>326</v>
      </c>
      <c r="D49" s="340"/>
      <c r="E49" s="340">
        <f>1.5*0.24</f>
        <v>0.36</v>
      </c>
      <c r="F49" s="401">
        <v>76610</v>
      </c>
      <c r="G49" s="779">
        <f>E49*F49</f>
        <v>27579.599999999999</v>
      </c>
      <c r="H49" s="524">
        <f>E49*10</f>
        <v>3.5999999999999996</v>
      </c>
      <c r="I49" s="401">
        <v>76610</v>
      </c>
      <c r="J49" s="401">
        <f t="shared" ref="J49:J50" si="3">H49*I49</f>
        <v>275796</v>
      </c>
      <c r="K49" s="526">
        <f>H49*5</f>
        <v>18</v>
      </c>
      <c r="L49" s="401">
        <v>76610</v>
      </c>
      <c r="M49" s="525">
        <f t="shared" ref="M49:M50" si="4">K49*L49</f>
        <v>1378980</v>
      </c>
      <c r="N49" s="527">
        <f t="shared" ref="N49:N50" si="5">K49*2</f>
        <v>36</v>
      </c>
      <c r="O49" s="525">
        <v>76610</v>
      </c>
      <c r="P49" s="525">
        <f t="shared" ref="P49:P50" si="6">N49*O49</f>
        <v>2757960</v>
      </c>
      <c r="Q49" s="607"/>
      <c r="R49" s="607"/>
      <c r="S49" s="607"/>
      <c r="T49" s="607"/>
      <c r="U49" s="607"/>
      <c r="V49" s="607"/>
    </row>
    <row r="50" spans="1:22" ht="14.45" x14ac:dyDescent="0.3">
      <c r="A50" s="424"/>
      <c r="B50" s="340">
        <v>6</v>
      </c>
      <c r="C50" s="340" t="s">
        <v>327</v>
      </c>
      <c r="D50" s="340"/>
      <c r="E50" s="340">
        <v>0.37</v>
      </c>
      <c r="F50" s="401">
        <v>73810</v>
      </c>
      <c r="G50" s="516">
        <f>E50*F50</f>
        <v>27309.7</v>
      </c>
      <c r="H50" s="524">
        <v>3.666666666666667</v>
      </c>
      <c r="I50" s="401">
        <v>73810</v>
      </c>
      <c r="J50" s="401">
        <f t="shared" si="3"/>
        <v>270636.66666666669</v>
      </c>
      <c r="K50" s="526">
        <f t="shared" ref="K50" si="7">H50*5</f>
        <v>18.333333333333336</v>
      </c>
      <c r="L50" s="401">
        <v>73810</v>
      </c>
      <c r="M50" s="525">
        <f t="shared" si="4"/>
        <v>1353183.3333333335</v>
      </c>
      <c r="N50" s="527">
        <f t="shared" si="5"/>
        <v>36.666666666666671</v>
      </c>
      <c r="O50" s="525">
        <v>73810</v>
      </c>
      <c r="P50" s="525">
        <f t="shared" si="6"/>
        <v>2706366.666666667</v>
      </c>
      <c r="Q50" s="607"/>
      <c r="R50" s="607"/>
      <c r="S50" s="607"/>
      <c r="T50" s="607"/>
      <c r="U50" s="607"/>
      <c r="V50" s="607"/>
    </row>
    <row r="51" spans="1:22" ht="14.45" x14ac:dyDescent="0.3">
      <c r="A51" s="424"/>
      <c r="B51" s="424"/>
      <c r="C51" s="340"/>
      <c r="D51" s="340"/>
      <c r="E51" s="340"/>
      <c r="F51" s="329"/>
      <c r="G51" s="341"/>
      <c r="H51" s="341"/>
      <c r="I51" s="341"/>
      <c r="K51" s="421"/>
      <c r="L51" s="340"/>
      <c r="M51" s="607"/>
      <c r="N51" s="607"/>
      <c r="O51" s="607"/>
      <c r="P51" s="607"/>
      <c r="Q51" s="607"/>
      <c r="R51" s="607"/>
      <c r="S51" s="607"/>
      <c r="T51" s="607"/>
      <c r="U51" s="607"/>
      <c r="V51" s="607"/>
    </row>
    <row r="52" spans="1:22" ht="14.45" x14ac:dyDescent="0.3">
      <c r="A52" s="424"/>
      <c r="B52" s="528" t="s">
        <v>80</v>
      </c>
      <c r="C52" s="528"/>
      <c r="D52" s="528"/>
      <c r="E52" s="528">
        <f>SUM(E45:E50)</f>
        <v>73.845000000000013</v>
      </c>
      <c r="F52" s="528"/>
      <c r="G52" s="529">
        <f>SUM(G45:G50)</f>
        <v>4549380.75</v>
      </c>
      <c r="H52" s="529">
        <f t="shared" ref="H52:P52" si="8">SUM(H45:H50)</f>
        <v>83.678333333333342</v>
      </c>
      <c r="I52" s="529"/>
      <c r="J52" s="529">
        <f t="shared" si="8"/>
        <v>5339439.666666667</v>
      </c>
      <c r="K52" s="530">
        <f t="shared" si="8"/>
        <v>127.41166666666669</v>
      </c>
      <c r="L52" s="529"/>
      <c r="M52" s="529">
        <f t="shared" si="8"/>
        <v>8852950.333333334</v>
      </c>
      <c r="N52" s="530">
        <f t="shared" si="8"/>
        <v>182.07833333333338</v>
      </c>
      <c r="O52" s="529"/>
      <c r="P52" s="529">
        <f t="shared" si="8"/>
        <v>13244838.666666668</v>
      </c>
      <c r="Q52" s="607"/>
      <c r="R52" s="607"/>
      <c r="S52" s="607"/>
      <c r="T52" s="607"/>
      <c r="U52" s="607"/>
      <c r="V52" s="607"/>
    </row>
    <row r="53" spans="1:22" ht="14.45" x14ac:dyDescent="0.3">
      <c r="A53" s="424"/>
      <c r="B53" s="424"/>
      <c r="C53" s="340"/>
      <c r="D53" s="340"/>
      <c r="E53" s="340"/>
      <c r="F53" s="329"/>
      <c r="G53" s="341"/>
      <c r="H53" s="341"/>
      <c r="I53" s="341"/>
      <c r="K53" s="421"/>
      <c r="L53" s="340"/>
      <c r="M53" s="607"/>
      <c r="N53" s="607"/>
      <c r="O53" s="607"/>
      <c r="P53" s="607"/>
      <c r="Q53" s="607"/>
      <c r="R53" s="607"/>
      <c r="S53" s="607"/>
      <c r="T53" s="607"/>
      <c r="U53" s="607"/>
      <c r="V53" s="607"/>
    </row>
    <row r="54" spans="1:22" ht="14.45" x14ac:dyDescent="0.3">
      <c r="A54" s="340"/>
      <c r="B54" s="340"/>
      <c r="C54" s="913"/>
      <c r="D54" s="913"/>
      <c r="E54" s="422"/>
      <c r="F54" s="422"/>
      <c r="G54" s="422"/>
      <c r="H54" s="422"/>
      <c r="I54" s="422"/>
      <c r="J54" s="422"/>
      <c r="K54" s="422"/>
      <c r="L54" s="411"/>
      <c r="M54" s="337"/>
      <c r="N54" s="337"/>
      <c r="O54" s="337"/>
      <c r="P54" s="337"/>
      <c r="Q54" s="337"/>
      <c r="R54" s="337"/>
      <c r="S54" s="337"/>
      <c r="T54" s="337"/>
      <c r="U54" s="337"/>
      <c r="V54" s="607"/>
    </row>
    <row r="55" spans="1:22" x14ac:dyDescent="0.25">
      <c r="A55" s="340"/>
      <c r="B55" s="340"/>
      <c r="C55" s="340"/>
      <c r="D55" s="340"/>
      <c r="E55" s="340"/>
      <c r="J55" s="340"/>
      <c r="K55" s="340"/>
      <c r="L55" s="320"/>
      <c r="M55" s="607"/>
      <c r="N55" s="607"/>
      <c r="O55" s="607"/>
      <c r="P55" s="607"/>
      <c r="Q55" s="607"/>
      <c r="R55" s="607"/>
      <c r="S55" s="607"/>
      <c r="T55" s="607"/>
      <c r="U55" s="607"/>
      <c r="V55" s="607"/>
    </row>
    <row r="56" spans="1:22" x14ac:dyDescent="0.25">
      <c r="A56" s="424" t="s">
        <v>75</v>
      </c>
      <c r="B56" s="424" t="s">
        <v>231</v>
      </c>
      <c r="C56" s="340"/>
      <c r="D56" s="340"/>
      <c r="E56" s="340"/>
      <c r="K56" s="340"/>
      <c r="L56" s="340"/>
      <c r="M56" s="607"/>
      <c r="N56" s="607"/>
      <c r="O56" s="607"/>
      <c r="P56" s="607"/>
      <c r="Q56" s="607"/>
      <c r="R56" s="607"/>
      <c r="S56" s="607"/>
      <c r="T56" s="607"/>
      <c r="U56" s="322"/>
      <c r="V56" s="607"/>
    </row>
    <row r="57" spans="1:22" x14ac:dyDescent="0.25">
      <c r="A57" s="424"/>
      <c r="B57" s="332"/>
      <c r="C57" s="607"/>
      <c r="D57" s="607"/>
      <c r="E57" s="340"/>
      <c r="F57" s="329"/>
      <c r="G57" s="341"/>
      <c r="H57" s="341"/>
      <c r="I57" s="341"/>
      <c r="K57" s="340"/>
      <c r="L57" s="340"/>
      <c r="M57" s="607"/>
      <c r="N57" s="607"/>
      <c r="O57" s="607"/>
      <c r="P57" s="607"/>
      <c r="Q57" s="607"/>
      <c r="R57" s="607"/>
      <c r="S57" s="607"/>
      <c r="T57" s="607"/>
      <c r="U57" s="322"/>
      <c r="V57" s="607"/>
    </row>
    <row r="58" spans="1:22" x14ac:dyDescent="0.25">
      <c r="A58" s="424"/>
      <c r="B58" s="607" t="s">
        <v>311</v>
      </c>
      <c r="C58" s="607"/>
      <c r="D58" s="607"/>
      <c r="E58" s="340"/>
      <c r="F58" s="329"/>
      <c r="G58" s="341"/>
      <c r="H58" s="341"/>
      <c r="I58" s="341"/>
      <c r="K58" s="340"/>
      <c r="L58" s="340"/>
      <c r="M58" s="607"/>
      <c r="N58" s="607"/>
      <c r="O58" s="607"/>
      <c r="P58" s="607"/>
      <c r="Q58" s="607"/>
      <c r="R58" s="607"/>
      <c r="S58" s="607"/>
      <c r="T58" s="607"/>
      <c r="U58" s="322"/>
      <c r="V58" s="607"/>
    </row>
    <row r="59" spans="1:22" x14ac:dyDescent="0.25">
      <c r="A59" s="424"/>
      <c r="B59" s="607" t="s">
        <v>330</v>
      </c>
      <c r="C59" s="607"/>
      <c r="D59" s="607"/>
      <c r="E59" s="340"/>
      <c r="F59" s="329"/>
      <c r="G59" s="341"/>
      <c r="H59" s="341"/>
      <c r="I59" s="341"/>
      <c r="K59" s="340"/>
      <c r="L59" s="340"/>
      <c r="M59" s="607"/>
      <c r="N59" s="607"/>
      <c r="O59" s="607"/>
      <c r="P59" s="607"/>
      <c r="Q59" s="607"/>
      <c r="R59" s="607"/>
      <c r="S59" s="607"/>
      <c r="T59" s="607"/>
      <c r="U59" s="322"/>
      <c r="V59" s="607"/>
    </row>
    <row r="60" spans="1:22" x14ac:dyDescent="0.25">
      <c r="A60" s="424"/>
      <c r="B60" s="607" t="s">
        <v>331</v>
      </c>
      <c r="C60" s="607"/>
      <c r="D60" s="607"/>
      <c r="E60" s="340"/>
      <c r="F60" s="329"/>
      <c r="G60" s="341"/>
      <c r="H60" s="341"/>
      <c r="I60" s="341"/>
      <c r="K60" s="340"/>
      <c r="L60" s="340"/>
      <c r="M60" s="607"/>
      <c r="N60" s="607"/>
      <c r="O60" s="607"/>
      <c r="P60" s="607"/>
      <c r="Q60" s="607"/>
      <c r="R60" s="607"/>
      <c r="S60" s="607"/>
      <c r="T60" s="607"/>
      <c r="U60" s="322"/>
      <c r="V60" s="607"/>
    </row>
    <row r="61" spans="1:22" x14ac:dyDescent="0.25">
      <c r="A61" s="424"/>
      <c r="B61" s="607" t="s">
        <v>332</v>
      </c>
      <c r="C61" s="607"/>
      <c r="D61" s="607"/>
      <c r="E61" s="340"/>
      <c r="F61" s="329"/>
      <c r="G61" s="341"/>
      <c r="H61" s="341"/>
      <c r="I61" s="341"/>
      <c r="K61" s="340"/>
      <c r="L61" s="340"/>
      <c r="M61" s="607"/>
      <c r="N61" s="607"/>
      <c r="O61" s="607"/>
      <c r="P61" s="607"/>
      <c r="Q61" s="607"/>
      <c r="R61" s="607"/>
      <c r="S61" s="607"/>
      <c r="T61" s="607"/>
      <c r="U61" s="322"/>
      <c r="V61" s="607"/>
    </row>
    <row r="62" spans="1:22" x14ac:dyDescent="0.25">
      <c r="A62" s="424"/>
      <c r="B62" s="607"/>
      <c r="C62" s="607"/>
      <c r="D62" s="607"/>
      <c r="E62" s="340"/>
      <c r="F62" s="329"/>
      <c r="G62" s="341"/>
      <c r="H62" s="341"/>
      <c r="I62" s="341"/>
      <c r="K62" s="340"/>
      <c r="L62" s="340"/>
      <c r="M62" s="607"/>
      <c r="N62" s="607"/>
      <c r="O62" s="607"/>
      <c r="P62" s="607"/>
      <c r="Q62" s="607"/>
      <c r="R62" s="607"/>
      <c r="S62" s="607"/>
      <c r="T62" s="607"/>
      <c r="U62" s="322"/>
      <c r="V62" s="607"/>
    </row>
    <row r="63" spans="1:22" x14ac:dyDescent="0.25">
      <c r="A63" s="424"/>
      <c r="B63" s="607" t="s">
        <v>333</v>
      </c>
      <c r="C63" s="607"/>
      <c r="D63" s="607"/>
      <c r="E63" s="340"/>
      <c r="F63" s="329"/>
      <c r="G63" s="341"/>
      <c r="H63" s="341"/>
      <c r="I63" s="341"/>
      <c r="K63" s="340"/>
      <c r="L63" s="340"/>
      <c r="M63" s="607"/>
      <c r="N63" s="607"/>
      <c r="O63" s="607"/>
      <c r="P63" s="607"/>
      <c r="Q63" s="607"/>
      <c r="R63" s="607"/>
      <c r="S63" s="607"/>
      <c r="T63" s="607"/>
      <c r="U63" s="322"/>
      <c r="V63" s="607"/>
    </row>
    <row r="64" spans="1:22" x14ac:dyDescent="0.25">
      <c r="A64" s="424"/>
      <c r="B64" s="607"/>
      <c r="C64" s="607" t="s">
        <v>334</v>
      </c>
      <c r="D64" s="525">
        <v>66350</v>
      </c>
      <c r="E64" s="340"/>
      <c r="F64" s="329"/>
      <c r="G64" s="341"/>
      <c r="H64" s="341"/>
      <c r="I64" s="341"/>
      <c r="K64" s="340"/>
      <c r="L64" s="340"/>
      <c r="M64" s="607"/>
      <c r="N64" s="607"/>
      <c r="O64" s="607"/>
      <c r="P64" s="607"/>
      <c r="Q64" s="607"/>
      <c r="R64" s="607"/>
      <c r="S64" s="607"/>
      <c r="T64" s="607"/>
      <c r="U64" s="322"/>
      <c r="V64" s="607"/>
    </row>
    <row r="65" spans="1:22" x14ac:dyDescent="0.25">
      <c r="A65" s="424"/>
      <c r="B65" s="607"/>
      <c r="C65" s="607" t="s">
        <v>335</v>
      </c>
      <c r="D65" s="525">
        <v>75625</v>
      </c>
      <c r="E65" s="340"/>
      <c r="F65" s="329"/>
      <c r="G65" s="341"/>
      <c r="H65" s="341"/>
      <c r="I65" s="341"/>
      <c r="K65" s="340"/>
      <c r="L65" s="340"/>
      <c r="M65" s="607"/>
      <c r="N65" s="607"/>
      <c r="O65" s="607"/>
      <c r="P65" s="607"/>
      <c r="Q65" s="607"/>
      <c r="R65" s="607"/>
      <c r="S65" s="607"/>
      <c r="T65" s="607"/>
      <c r="U65" s="322"/>
      <c r="V65" s="607"/>
    </row>
    <row r="66" spans="1:22" x14ac:dyDescent="0.25">
      <c r="A66" s="424"/>
      <c r="B66" s="607"/>
      <c r="C66" s="607" t="s">
        <v>336</v>
      </c>
      <c r="D66" s="525">
        <v>101275</v>
      </c>
      <c r="E66" s="340"/>
      <c r="F66" s="329"/>
      <c r="G66" s="341"/>
      <c r="H66" s="341"/>
      <c r="I66" s="341"/>
      <c r="K66" s="340"/>
      <c r="L66" s="340"/>
      <c r="M66" s="607"/>
      <c r="N66" s="607"/>
      <c r="O66" s="607"/>
      <c r="P66" s="607"/>
      <c r="Q66" s="607"/>
      <c r="R66" s="607"/>
      <c r="S66" s="607"/>
      <c r="T66" s="607"/>
      <c r="U66" s="322"/>
      <c r="V66" s="607"/>
    </row>
    <row r="67" spans="1:22" x14ac:dyDescent="0.25">
      <c r="A67" s="424"/>
      <c r="B67" s="607"/>
      <c r="C67" s="607" t="s">
        <v>338</v>
      </c>
      <c r="D67" s="525">
        <v>101075</v>
      </c>
      <c r="E67" s="340"/>
      <c r="F67" s="329"/>
      <c r="G67" s="341"/>
      <c r="H67" s="341"/>
      <c r="I67" s="341"/>
      <c r="K67" s="340"/>
      <c r="L67" s="340"/>
      <c r="M67" s="607"/>
      <c r="N67" s="607"/>
      <c r="O67" s="607"/>
      <c r="P67" s="607"/>
      <c r="Q67" s="607"/>
      <c r="R67" s="607"/>
      <c r="S67" s="607"/>
      <c r="T67" s="607"/>
      <c r="U67" s="322"/>
      <c r="V67" s="607"/>
    </row>
    <row r="68" spans="1:22" x14ac:dyDescent="0.25">
      <c r="A68" s="424"/>
      <c r="B68" s="607"/>
      <c r="C68" s="607" t="s">
        <v>337</v>
      </c>
      <c r="D68" s="525">
        <v>87855</v>
      </c>
      <c r="E68" s="340"/>
      <c r="F68" s="521" t="s">
        <v>97</v>
      </c>
      <c r="G68" s="522"/>
      <c r="H68" s="340"/>
      <c r="I68" s="521" t="s">
        <v>346</v>
      </c>
      <c r="J68" s="522"/>
      <c r="K68" s="340"/>
      <c r="L68" s="521" t="s">
        <v>347</v>
      </c>
      <c r="M68" s="522"/>
      <c r="N68" s="340"/>
      <c r="O68" s="521" t="s">
        <v>348</v>
      </c>
      <c r="P68" s="522"/>
      <c r="Q68" s="607"/>
      <c r="R68" s="607"/>
      <c r="S68" s="607"/>
      <c r="T68" s="607"/>
      <c r="U68" s="322"/>
      <c r="V68" s="607"/>
    </row>
    <row r="69" spans="1:22" x14ac:dyDescent="0.25">
      <c r="A69" s="424"/>
      <c r="B69" s="607"/>
      <c r="C69" s="607"/>
      <c r="D69" s="607"/>
      <c r="E69" s="520" t="s">
        <v>329</v>
      </c>
      <c r="F69" s="407" t="s">
        <v>328</v>
      </c>
      <c r="G69" s="329" t="s">
        <v>78</v>
      </c>
      <c r="H69" s="520" t="s">
        <v>329</v>
      </c>
      <c r="I69" s="407" t="s">
        <v>328</v>
      </c>
      <c r="J69" s="329" t="s">
        <v>78</v>
      </c>
      <c r="K69" s="520" t="s">
        <v>329</v>
      </c>
      <c r="L69" s="407" t="s">
        <v>328</v>
      </c>
      <c r="M69" s="329" t="s">
        <v>78</v>
      </c>
      <c r="N69" s="520" t="s">
        <v>329</v>
      </c>
      <c r="O69" s="407" t="s">
        <v>328</v>
      </c>
      <c r="P69" s="329" t="s">
        <v>78</v>
      </c>
      <c r="Q69" s="607"/>
      <c r="R69" s="607"/>
      <c r="S69" s="607"/>
      <c r="T69" s="607"/>
      <c r="U69" s="322"/>
      <c r="V69" s="607"/>
    </row>
    <row r="70" spans="1:22" x14ac:dyDescent="0.25">
      <c r="A70" s="424"/>
      <c r="B70" s="607" t="s">
        <v>339</v>
      </c>
      <c r="C70" s="607"/>
      <c r="D70" s="607"/>
      <c r="E70" s="515"/>
      <c r="F70" s="515"/>
      <c r="G70" s="515"/>
      <c r="H70" s="515"/>
      <c r="I70" s="341"/>
      <c r="K70" s="340"/>
      <c r="L70" s="340"/>
      <c r="M70" s="607"/>
      <c r="N70" s="607"/>
      <c r="O70" s="607"/>
      <c r="P70" s="607"/>
      <c r="Q70" s="607"/>
      <c r="R70" s="607"/>
      <c r="S70" s="607"/>
      <c r="T70" s="607"/>
      <c r="U70" s="322"/>
      <c r="V70" s="607"/>
    </row>
    <row r="71" spans="1:22" x14ac:dyDescent="0.25">
      <c r="A71" s="424"/>
      <c r="B71" s="607"/>
      <c r="C71" s="607" t="s">
        <v>340</v>
      </c>
      <c r="D71" s="607"/>
      <c r="E71" s="340">
        <v>11</v>
      </c>
      <c r="F71" s="516">
        <v>66350</v>
      </c>
      <c r="G71" s="516">
        <f>E71*F71</f>
        <v>729850</v>
      </c>
      <c r="H71" s="340">
        <v>11</v>
      </c>
      <c r="I71" s="516">
        <f>D64</f>
        <v>66350</v>
      </c>
      <c r="J71" s="516">
        <f>H71*I71</f>
        <v>729850</v>
      </c>
      <c r="K71" s="340">
        <v>11</v>
      </c>
      <c r="L71" s="516">
        <v>66350</v>
      </c>
      <c r="M71" s="516">
        <f>K71*L71</f>
        <v>729850</v>
      </c>
      <c r="N71" s="340">
        <v>11</v>
      </c>
      <c r="O71" s="516">
        <v>66350</v>
      </c>
      <c r="P71" s="516">
        <f>N71*O71</f>
        <v>729850</v>
      </c>
      <c r="Q71" s="607"/>
      <c r="R71" s="607"/>
      <c r="S71" s="607"/>
      <c r="T71" s="607"/>
      <c r="U71" s="322"/>
      <c r="V71" s="607"/>
    </row>
    <row r="72" spans="1:22" x14ac:dyDescent="0.25">
      <c r="A72" s="424"/>
      <c r="B72" s="607"/>
      <c r="C72" s="607" t="s">
        <v>341</v>
      </c>
      <c r="D72" s="607"/>
      <c r="E72" s="340">
        <v>0.71</v>
      </c>
      <c r="F72" s="516">
        <v>75625</v>
      </c>
      <c r="G72" s="516">
        <f t="shared" ref="G72:G75" si="9">E72*F72</f>
        <v>53693.75</v>
      </c>
      <c r="H72" s="340">
        <v>3.4</v>
      </c>
      <c r="I72" s="516">
        <f>D65</f>
        <v>75625</v>
      </c>
      <c r="J72" s="516">
        <f t="shared" ref="J72:J77" si="10">H72*I72</f>
        <v>257125</v>
      </c>
      <c r="K72" s="340">
        <v>3.4</v>
      </c>
      <c r="L72" s="516">
        <v>75625</v>
      </c>
      <c r="M72" s="516">
        <f t="shared" ref="M72:M75" si="11">K72*L72</f>
        <v>257125</v>
      </c>
      <c r="N72" s="340">
        <v>3.4</v>
      </c>
      <c r="O72" s="516">
        <v>75625</v>
      </c>
      <c r="P72" s="516">
        <f t="shared" ref="P72:P75" si="12">N72*O72</f>
        <v>257125</v>
      </c>
      <c r="Q72" s="607"/>
      <c r="R72" s="607"/>
      <c r="S72" s="607"/>
      <c r="T72" s="607"/>
      <c r="U72" s="322"/>
      <c r="V72" s="607"/>
    </row>
    <row r="73" spans="1:22" x14ac:dyDescent="0.25">
      <c r="A73" s="424"/>
      <c r="B73" s="607"/>
      <c r="C73" s="607" t="s">
        <v>342</v>
      </c>
      <c r="D73" s="607"/>
      <c r="E73" s="340">
        <v>2</v>
      </c>
      <c r="F73" s="516">
        <v>101275</v>
      </c>
      <c r="G73" s="516">
        <f t="shared" si="9"/>
        <v>202550</v>
      </c>
      <c r="H73" s="340">
        <v>2</v>
      </c>
      <c r="I73" s="516">
        <f>D66</f>
        <v>101275</v>
      </c>
      <c r="J73" s="516">
        <f t="shared" si="10"/>
        <v>202550</v>
      </c>
      <c r="K73" s="340">
        <v>2</v>
      </c>
      <c r="L73" s="516">
        <v>101275</v>
      </c>
      <c r="M73" s="516">
        <f t="shared" si="11"/>
        <v>202550</v>
      </c>
      <c r="N73" s="340">
        <v>2</v>
      </c>
      <c r="O73" s="516">
        <v>101275</v>
      </c>
      <c r="P73" s="516">
        <f t="shared" si="12"/>
        <v>202550</v>
      </c>
      <c r="Q73" s="607"/>
      <c r="R73" s="607"/>
      <c r="S73" s="607"/>
      <c r="T73" s="607"/>
      <c r="U73" s="322"/>
      <c r="V73" s="607"/>
    </row>
    <row r="74" spans="1:22" x14ac:dyDescent="0.25">
      <c r="A74" s="424"/>
      <c r="B74" s="607"/>
      <c r="C74" s="607" t="s">
        <v>343</v>
      </c>
      <c r="D74" s="607"/>
      <c r="E74" s="340">
        <v>0.55000000000000004</v>
      </c>
      <c r="F74" s="516">
        <v>101075</v>
      </c>
      <c r="G74" s="516">
        <f t="shared" si="9"/>
        <v>55591.250000000007</v>
      </c>
      <c r="H74" s="340">
        <v>5.5</v>
      </c>
      <c r="I74" s="516">
        <f>D67</f>
        <v>101075</v>
      </c>
      <c r="J74" s="516">
        <f t="shared" si="10"/>
        <v>555912.5</v>
      </c>
      <c r="K74" s="340">
        <f>H74*5</f>
        <v>27.5</v>
      </c>
      <c r="L74" s="516">
        <v>101075</v>
      </c>
      <c r="M74" s="516">
        <f t="shared" si="11"/>
        <v>2779562.5</v>
      </c>
      <c r="N74" s="340">
        <f>K74*2</f>
        <v>55</v>
      </c>
      <c r="O74" s="516">
        <v>101075</v>
      </c>
      <c r="P74" s="516">
        <f t="shared" si="12"/>
        <v>5559125</v>
      </c>
      <c r="Q74" s="607"/>
      <c r="R74" s="607"/>
      <c r="S74" s="607"/>
      <c r="T74" s="607"/>
      <c r="U74" s="322"/>
      <c r="V74" s="607"/>
    </row>
    <row r="75" spans="1:22" x14ac:dyDescent="0.25">
      <c r="A75" s="424"/>
      <c r="B75" s="607"/>
      <c r="C75" s="607" t="s">
        <v>344</v>
      </c>
      <c r="D75" s="607"/>
      <c r="E75" s="340">
        <v>3.1</v>
      </c>
      <c r="F75" s="516">
        <v>101075</v>
      </c>
      <c r="G75" s="516">
        <f t="shared" si="9"/>
        <v>313332.5</v>
      </c>
      <c r="H75" s="340">
        <v>3.1</v>
      </c>
      <c r="I75" s="516">
        <f>D67</f>
        <v>101075</v>
      </c>
      <c r="J75" s="516">
        <f t="shared" si="10"/>
        <v>313332.5</v>
      </c>
      <c r="K75" s="340">
        <v>3.1</v>
      </c>
      <c r="L75" s="516">
        <v>101075</v>
      </c>
      <c r="M75" s="516">
        <f t="shared" si="11"/>
        <v>313332.5</v>
      </c>
      <c r="N75" s="340">
        <f>K75</f>
        <v>3.1</v>
      </c>
      <c r="O75" s="516">
        <v>101075</v>
      </c>
      <c r="P75" s="516">
        <f t="shared" si="12"/>
        <v>313332.5</v>
      </c>
      <c r="Q75" s="607"/>
      <c r="R75" s="607"/>
      <c r="S75" s="607"/>
      <c r="T75" s="607"/>
      <c r="U75" s="322"/>
      <c r="V75" s="607"/>
    </row>
    <row r="76" spans="1:22" x14ac:dyDescent="0.25">
      <c r="A76" s="424"/>
      <c r="B76" s="607"/>
      <c r="C76" s="607" t="s">
        <v>345</v>
      </c>
      <c r="D76" s="607"/>
      <c r="E76" s="340"/>
      <c r="F76" s="516"/>
      <c r="G76" s="516"/>
      <c r="H76" s="340"/>
      <c r="I76" s="516"/>
      <c r="J76" s="516"/>
      <c r="K76" s="340"/>
      <c r="L76" s="516"/>
      <c r="M76" s="516"/>
      <c r="N76" s="340"/>
      <c r="O76" s="516"/>
      <c r="P76" s="516"/>
      <c r="Q76" s="607"/>
      <c r="R76" s="607"/>
      <c r="S76" s="607"/>
      <c r="T76" s="607"/>
      <c r="U76" s="322"/>
      <c r="V76" s="607"/>
    </row>
    <row r="77" spans="1:22" x14ac:dyDescent="0.25">
      <c r="A77" s="424"/>
      <c r="B77" s="607"/>
      <c r="C77" s="607" t="s">
        <v>142</v>
      </c>
      <c r="D77" s="319">
        <v>0.1</v>
      </c>
      <c r="E77" s="340">
        <f>SUM(E71:E76)*D77</f>
        <v>1.7360000000000004</v>
      </c>
      <c r="F77" s="516">
        <v>87855</v>
      </c>
      <c r="G77" s="516">
        <f t="shared" ref="G77" si="13">E77*F77</f>
        <v>152516.28000000003</v>
      </c>
      <c r="H77" s="340">
        <v>2.52</v>
      </c>
      <c r="I77" s="516">
        <f>D68</f>
        <v>87855</v>
      </c>
      <c r="J77" s="516">
        <f t="shared" si="10"/>
        <v>221394.6</v>
      </c>
      <c r="K77" s="340">
        <v>2.52</v>
      </c>
      <c r="L77" s="516">
        <v>87855</v>
      </c>
      <c r="M77" s="516">
        <f t="shared" ref="M77" si="14">K77*L77</f>
        <v>221394.6</v>
      </c>
      <c r="N77" s="340">
        <v>2.52</v>
      </c>
      <c r="O77" s="516">
        <v>87855</v>
      </c>
      <c r="P77" s="516">
        <f t="shared" ref="P77" si="15">N77*O77</f>
        <v>221394.6</v>
      </c>
      <c r="Q77" s="607"/>
      <c r="R77" s="607"/>
      <c r="S77" s="607"/>
      <c r="T77" s="607"/>
      <c r="U77" s="322"/>
      <c r="V77" s="607"/>
    </row>
    <row r="78" spans="1:22" x14ac:dyDescent="0.25">
      <c r="A78" s="424"/>
      <c r="B78" s="607"/>
      <c r="C78" s="607"/>
      <c r="D78" s="607"/>
      <c r="E78" s="340"/>
      <c r="F78" s="329"/>
      <c r="G78" s="516"/>
      <c r="H78" s="340"/>
      <c r="I78" s="329"/>
      <c r="J78" s="516"/>
      <c r="K78" s="340"/>
      <c r="L78" s="329"/>
      <c r="M78" s="516"/>
      <c r="N78" s="607"/>
      <c r="O78" s="607"/>
      <c r="P78" s="607"/>
      <c r="Q78" s="607"/>
      <c r="R78" s="607"/>
      <c r="S78" s="607"/>
      <c r="T78" s="607"/>
      <c r="U78" s="322"/>
      <c r="V78" s="607"/>
    </row>
    <row r="79" spans="1:22" x14ac:dyDescent="0.25">
      <c r="A79" s="424"/>
      <c r="B79" s="321" t="s">
        <v>80</v>
      </c>
      <c r="C79" s="321"/>
      <c r="D79" s="321"/>
      <c r="E79" s="531">
        <f>SUM(E71:E77)</f>
        <v>19.096000000000004</v>
      </c>
      <c r="F79" s="532"/>
      <c r="G79" s="533">
        <f>SUM(G71:G77)</f>
        <v>1507533.78</v>
      </c>
      <c r="H79" s="531">
        <f>SUM(H71:H77)</f>
        <v>27.52</v>
      </c>
      <c r="I79" s="532"/>
      <c r="J79" s="533">
        <f>SUM(J71:J77)</f>
        <v>2280164.6</v>
      </c>
      <c r="K79" s="531">
        <f>SUM(K71:K77)</f>
        <v>49.52</v>
      </c>
      <c r="L79" s="532"/>
      <c r="M79" s="533">
        <f>SUM(M71:M77)</f>
        <v>4503814.5999999996</v>
      </c>
      <c r="N79" s="534">
        <f t="shared" ref="N79:P79" si="16">SUM(N71:N77)</f>
        <v>77.02</v>
      </c>
      <c r="O79" s="533"/>
      <c r="P79" s="533">
        <f t="shared" si="16"/>
        <v>7283377.0999999996</v>
      </c>
      <c r="Q79" s="607"/>
      <c r="R79" s="607"/>
      <c r="S79" s="607"/>
      <c r="T79" s="607"/>
      <c r="U79" s="322"/>
      <c r="V79" s="607"/>
    </row>
    <row r="80" spans="1:22" x14ac:dyDescent="0.25">
      <c r="A80" s="424"/>
      <c r="B80" s="607"/>
      <c r="C80" s="607"/>
      <c r="D80" s="607"/>
      <c r="E80" s="340"/>
      <c r="F80" s="329"/>
      <c r="G80" s="341"/>
      <c r="H80" s="341"/>
      <c r="I80" s="341"/>
      <c r="K80" s="340"/>
      <c r="L80" s="340"/>
      <c r="M80" s="607"/>
      <c r="N80" s="607"/>
      <c r="O80" s="607"/>
      <c r="P80" s="607"/>
      <c r="Q80" s="607"/>
      <c r="R80" s="607"/>
      <c r="S80" s="607"/>
      <c r="T80" s="607"/>
      <c r="U80" s="322"/>
      <c r="V80" s="607"/>
    </row>
    <row r="81" spans="1:22" x14ac:dyDescent="0.25">
      <c r="A81" s="607"/>
      <c r="B81" s="607"/>
      <c r="C81" s="607"/>
      <c r="D81" s="607"/>
      <c r="E81" s="607"/>
      <c r="G81" s="96"/>
      <c r="H81" s="389"/>
      <c r="I81" s="389"/>
      <c r="K81" s="340"/>
      <c r="L81" s="607"/>
      <c r="M81" s="607"/>
      <c r="N81" s="607"/>
      <c r="O81" s="607"/>
      <c r="P81" s="607"/>
      <c r="Q81" s="607"/>
      <c r="R81" s="607"/>
      <c r="S81" s="607"/>
      <c r="T81" s="607"/>
      <c r="U81" s="607"/>
      <c r="V81" s="607"/>
    </row>
    <row r="82" spans="1:22" x14ac:dyDescent="0.25">
      <c r="A82" s="424" t="s">
        <v>76</v>
      </c>
      <c r="B82" s="332" t="s">
        <v>49</v>
      </c>
      <c r="C82" s="607"/>
      <c r="D82" s="607"/>
      <c r="E82" s="607"/>
      <c r="F82" s="515"/>
      <c r="G82" s="515"/>
      <c r="H82" s="515"/>
      <c r="I82" s="515"/>
      <c r="K82" s="340"/>
      <c r="L82" s="607"/>
      <c r="M82" s="607"/>
      <c r="N82" s="607"/>
      <c r="O82" s="607"/>
      <c r="P82" s="607"/>
      <c r="Q82" s="607"/>
      <c r="R82" s="607"/>
      <c r="S82" s="607"/>
      <c r="T82" s="607"/>
      <c r="U82" s="607"/>
      <c r="V82" s="607"/>
    </row>
    <row r="83" spans="1:22" x14ac:dyDescent="0.25">
      <c r="A83" s="424"/>
      <c r="B83" s="332"/>
      <c r="C83" s="607"/>
      <c r="D83" s="607"/>
      <c r="E83" s="607"/>
      <c r="F83" s="515"/>
      <c r="G83" s="515"/>
      <c r="H83" s="515"/>
      <c r="I83" s="515"/>
      <c r="K83" s="340"/>
      <c r="L83" s="607"/>
      <c r="M83" s="607"/>
      <c r="N83" s="607"/>
      <c r="O83" s="607"/>
      <c r="P83" s="607"/>
      <c r="Q83" s="607"/>
      <c r="R83" s="607"/>
      <c r="S83" s="607"/>
      <c r="T83" s="607"/>
      <c r="U83" s="607"/>
      <c r="V83" s="607"/>
    </row>
    <row r="84" spans="1:22" x14ac:dyDescent="0.25">
      <c r="A84" s="424"/>
      <c r="B84" s="607" t="s">
        <v>311</v>
      </c>
      <c r="C84" s="607"/>
      <c r="D84" s="607"/>
      <c r="E84" s="607"/>
      <c r="F84" s="515"/>
      <c r="G84" s="515"/>
      <c r="H84" s="515"/>
      <c r="I84" s="515"/>
      <c r="K84" s="340"/>
      <c r="L84" s="607"/>
      <c r="M84" s="607"/>
      <c r="N84" s="607"/>
      <c r="O84" s="607"/>
      <c r="P84" s="607"/>
      <c r="Q84" s="607"/>
      <c r="R84" s="607"/>
      <c r="S84" s="607"/>
      <c r="T84" s="607"/>
      <c r="U84" s="607"/>
      <c r="V84" s="607"/>
    </row>
    <row r="85" spans="1:22" x14ac:dyDescent="0.25">
      <c r="A85" s="424"/>
      <c r="B85" s="607" t="s">
        <v>350</v>
      </c>
      <c r="C85" s="607"/>
      <c r="D85" s="607"/>
      <c r="E85" s="607"/>
      <c r="F85" s="515"/>
      <c r="G85" s="515"/>
      <c r="H85" s="515"/>
      <c r="I85" s="515"/>
      <c r="K85" s="340"/>
      <c r="L85" s="607"/>
      <c r="M85" s="607"/>
      <c r="N85" s="607"/>
      <c r="O85" s="607"/>
      <c r="P85" s="607"/>
      <c r="Q85" s="607"/>
      <c r="R85" s="607"/>
      <c r="S85" s="607"/>
      <c r="T85" s="607"/>
      <c r="U85" s="607"/>
      <c r="V85" s="607"/>
    </row>
    <row r="86" spans="1:22" x14ac:dyDescent="0.25">
      <c r="A86" s="424"/>
      <c r="B86" s="607" t="s">
        <v>354</v>
      </c>
      <c r="C86" s="607"/>
      <c r="D86" s="607"/>
      <c r="E86" s="607"/>
      <c r="F86" s="515"/>
      <c r="G86" s="515"/>
      <c r="H86" s="515"/>
      <c r="I86" s="515"/>
      <c r="K86" s="340"/>
      <c r="L86" s="607"/>
      <c r="M86" s="607"/>
      <c r="N86" s="607"/>
      <c r="O86" s="607"/>
      <c r="P86" s="607"/>
      <c r="Q86" s="607"/>
      <c r="R86" s="607"/>
      <c r="S86" s="607"/>
      <c r="T86" s="607"/>
      <c r="U86" s="607"/>
      <c r="V86" s="607"/>
    </row>
    <row r="87" spans="1:22" x14ac:dyDescent="0.25">
      <c r="A87" s="424"/>
      <c r="B87" s="607" t="s">
        <v>351</v>
      </c>
      <c r="C87" s="607"/>
      <c r="D87" s="607"/>
      <c r="E87" s="607"/>
      <c r="F87" s="515"/>
      <c r="G87" s="515"/>
      <c r="H87" s="515"/>
      <c r="I87" s="515"/>
      <c r="K87" s="340"/>
      <c r="L87" s="607"/>
      <c r="M87" s="607"/>
      <c r="N87" s="607"/>
      <c r="O87" s="607"/>
      <c r="P87" s="607"/>
      <c r="Q87" s="607"/>
      <c r="R87" s="607"/>
      <c r="S87" s="607"/>
      <c r="T87" s="607"/>
      <c r="U87" s="607"/>
      <c r="V87" s="607"/>
    </row>
    <row r="88" spans="1:22" x14ac:dyDescent="0.25">
      <c r="A88" s="424"/>
      <c r="B88" s="607" t="s">
        <v>352</v>
      </c>
      <c r="C88" s="607"/>
      <c r="D88" s="607"/>
      <c r="E88" s="607"/>
      <c r="F88" s="515"/>
      <c r="G88" s="515"/>
      <c r="H88" s="515"/>
      <c r="I88" s="515"/>
      <c r="K88" s="340"/>
      <c r="L88" s="607"/>
      <c r="M88" s="607"/>
      <c r="N88" s="607"/>
      <c r="O88" s="607"/>
      <c r="P88" s="607"/>
      <c r="Q88" s="607"/>
      <c r="R88" s="607"/>
      <c r="S88" s="607"/>
      <c r="T88" s="607"/>
      <c r="U88" s="607"/>
      <c r="V88" s="607"/>
    </row>
    <row r="89" spans="1:22" x14ac:dyDescent="0.25">
      <c r="A89" s="424"/>
      <c r="B89" s="607" t="s">
        <v>353</v>
      </c>
      <c r="C89" s="607"/>
      <c r="D89" s="607"/>
      <c r="E89" s="340"/>
      <c r="F89" s="521" t="s">
        <v>97</v>
      </c>
      <c r="G89" s="522"/>
      <c r="H89" s="340"/>
      <c r="I89" s="521" t="s">
        <v>358</v>
      </c>
      <c r="J89" s="522"/>
      <c r="K89" s="340"/>
      <c r="L89" s="521" t="s">
        <v>347</v>
      </c>
      <c r="M89" s="522"/>
      <c r="N89" s="340"/>
      <c r="O89" s="521" t="s">
        <v>348</v>
      </c>
      <c r="P89" s="522"/>
      <c r="Q89" s="607"/>
      <c r="R89" s="607"/>
      <c r="S89" s="607"/>
      <c r="T89" s="607"/>
      <c r="U89" s="607"/>
      <c r="V89" s="607"/>
    </row>
    <row r="90" spans="1:22" x14ac:dyDescent="0.25">
      <c r="A90" s="424"/>
      <c r="B90" s="332"/>
      <c r="C90" s="607"/>
      <c r="D90" s="607"/>
      <c r="E90" s="520" t="s">
        <v>329</v>
      </c>
      <c r="F90" s="407" t="s">
        <v>328</v>
      </c>
      <c r="G90" s="329" t="s">
        <v>78</v>
      </c>
      <c r="H90" s="520" t="s">
        <v>329</v>
      </c>
      <c r="I90" s="407" t="s">
        <v>328</v>
      </c>
      <c r="J90" s="329" t="s">
        <v>78</v>
      </c>
      <c r="K90" s="520" t="s">
        <v>329</v>
      </c>
      <c r="L90" s="407" t="s">
        <v>328</v>
      </c>
      <c r="M90" s="329" t="s">
        <v>78</v>
      </c>
      <c r="N90" s="520" t="s">
        <v>329</v>
      </c>
      <c r="O90" s="407" t="s">
        <v>328</v>
      </c>
      <c r="P90" s="329" t="s">
        <v>78</v>
      </c>
      <c r="Q90" s="607"/>
      <c r="R90" s="607"/>
      <c r="S90" s="607"/>
      <c r="T90" s="607"/>
      <c r="U90" s="607"/>
      <c r="V90" s="607"/>
    </row>
    <row r="91" spans="1:22" x14ac:dyDescent="0.25">
      <c r="A91" s="424"/>
      <c r="B91" s="607" t="s">
        <v>355</v>
      </c>
      <c r="C91" s="607"/>
      <c r="D91" s="607"/>
      <c r="E91" s="607"/>
      <c r="F91" s="515"/>
      <c r="G91" s="515"/>
      <c r="H91" s="515"/>
      <c r="I91" s="515"/>
      <c r="K91" s="340"/>
      <c r="L91" s="607"/>
      <c r="M91" s="607"/>
      <c r="N91" s="607"/>
      <c r="O91" s="607"/>
      <c r="P91" s="607"/>
      <c r="Q91" s="607"/>
      <c r="R91" s="607"/>
      <c r="S91" s="607"/>
      <c r="T91" s="607"/>
      <c r="U91" s="607"/>
      <c r="V91" s="607"/>
    </row>
    <row r="92" spans="1:22" x14ac:dyDescent="0.25">
      <c r="A92" s="424"/>
      <c r="B92" s="607">
        <v>1</v>
      </c>
      <c r="C92" s="607" t="s">
        <v>356</v>
      </c>
      <c r="D92" s="607"/>
      <c r="E92" s="340"/>
      <c r="F92" s="515"/>
      <c r="G92" s="516">
        <v>181750</v>
      </c>
      <c r="H92" s="515"/>
      <c r="I92" s="515"/>
      <c r="J92" s="400">
        <f>G92</f>
        <v>181750</v>
      </c>
      <c r="K92" s="340"/>
      <c r="L92" s="607"/>
      <c r="M92" s="525">
        <v>181750</v>
      </c>
      <c r="N92" s="607"/>
      <c r="O92" s="607"/>
      <c r="P92" s="525">
        <v>181750</v>
      </c>
      <c r="Q92" s="607"/>
      <c r="R92" s="607"/>
      <c r="S92" s="607"/>
      <c r="T92" s="607"/>
      <c r="U92" s="607"/>
      <c r="V92" s="607"/>
    </row>
    <row r="93" spans="1:22" x14ac:dyDescent="0.25">
      <c r="A93" s="424"/>
      <c r="B93" s="607">
        <v>2</v>
      </c>
      <c r="C93" s="607" t="s">
        <v>46</v>
      </c>
      <c r="D93" s="329" t="s">
        <v>357</v>
      </c>
      <c r="E93" s="607">
        <v>1</v>
      </c>
      <c r="F93" s="516">
        <f>66775</f>
        <v>66775</v>
      </c>
      <c r="G93" s="516">
        <f>F93*E93</f>
        <v>66775</v>
      </c>
      <c r="H93" s="515">
        <v>10</v>
      </c>
      <c r="I93" s="516">
        <f>66775</f>
        <v>66775</v>
      </c>
      <c r="J93" s="400">
        <f>I93*H93</f>
        <v>667750</v>
      </c>
      <c r="K93" s="340">
        <v>50</v>
      </c>
      <c r="L93" s="525">
        <f>66775</f>
        <v>66775</v>
      </c>
      <c r="M93" s="535">
        <f>L93*K93</f>
        <v>3338750</v>
      </c>
      <c r="N93" s="607">
        <v>100</v>
      </c>
      <c r="O93" s="525">
        <f>66775</f>
        <v>66775</v>
      </c>
      <c r="P93" s="535">
        <f>O93*N93</f>
        <v>6677500</v>
      </c>
      <c r="Q93" s="332" t="s">
        <v>911</v>
      </c>
      <c r="R93" s="607"/>
      <c r="S93" s="607"/>
      <c r="T93" s="607"/>
      <c r="U93" s="607"/>
      <c r="V93" s="607"/>
    </row>
    <row r="94" spans="1:22" x14ac:dyDescent="0.25">
      <c r="A94" s="424"/>
      <c r="B94" s="607">
        <v>3</v>
      </c>
      <c r="C94" s="607" t="s">
        <v>142</v>
      </c>
      <c r="D94" s="319">
        <v>0.1</v>
      </c>
      <c r="E94" s="607">
        <f>D94*E93</f>
        <v>0.1</v>
      </c>
      <c r="F94" s="516">
        <f>F93</f>
        <v>66775</v>
      </c>
      <c r="G94" s="516">
        <f>F94*E94</f>
        <v>6677.5</v>
      </c>
      <c r="H94" s="515">
        <v>1</v>
      </c>
      <c r="I94" s="516">
        <f>I93</f>
        <v>66775</v>
      </c>
      <c r="J94" s="400">
        <f>I94*H94</f>
        <v>66775</v>
      </c>
      <c r="K94" s="340">
        <v>5</v>
      </c>
      <c r="L94" s="516">
        <f>L93</f>
        <v>66775</v>
      </c>
      <c r="M94" s="535">
        <f>L94*K94</f>
        <v>333875</v>
      </c>
      <c r="N94" s="607">
        <v>10</v>
      </c>
      <c r="O94" s="516">
        <f>O93</f>
        <v>66775</v>
      </c>
      <c r="P94" s="535">
        <f>O94*N94</f>
        <v>667750</v>
      </c>
      <c r="Q94" s="607"/>
      <c r="R94" s="607"/>
      <c r="S94" s="607"/>
      <c r="T94" s="607"/>
      <c r="U94" s="607"/>
      <c r="V94" s="607"/>
    </row>
    <row r="95" spans="1:22" x14ac:dyDescent="0.25">
      <c r="A95" s="424"/>
      <c r="B95" s="332"/>
      <c r="C95" s="607"/>
      <c r="D95" s="607"/>
      <c r="E95" s="607"/>
      <c r="F95" s="515"/>
      <c r="G95" s="515"/>
      <c r="H95" s="515"/>
      <c r="I95" s="515"/>
      <c r="K95" s="340"/>
      <c r="L95" s="607"/>
      <c r="M95" s="607"/>
      <c r="N95" s="607"/>
      <c r="O95" s="607"/>
      <c r="P95" s="607"/>
      <c r="Q95" s="607"/>
      <c r="R95" s="607"/>
      <c r="S95" s="607"/>
      <c r="T95" s="607"/>
      <c r="U95" s="607"/>
      <c r="V95" s="607"/>
    </row>
    <row r="96" spans="1:22" x14ac:dyDescent="0.25">
      <c r="A96" s="424"/>
      <c r="B96" s="321" t="s">
        <v>80</v>
      </c>
      <c r="C96" s="321"/>
      <c r="D96" s="321"/>
      <c r="E96" s="321">
        <f>SUM(E92:E94)</f>
        <v>1.1000000000000001</v>
      </c>
      <c r="F96" s="321"/>
      <c r="G96" s="536">
        <f t="shared" ref="G96:P96" si="17">SUM(G92:G94)</f>
        <v>255202.5</v>
      </c>
      <c r="H96" s="536">
        <f t="shared" si="17"/>
        <v>11</v>
      </c>
      <c r="I96" s="536"/>
      <c r="J96" s="536">
        <f t="shared" si="17"/>
        <v>916275</v>
      </c>
      <c r="K96" s="536">
        <f t="shared" si="17"/>
        <v>55</v>
      </c>
      <c r="L96" s="536"/>
      <c r="M96" s="536">
        <f t="shared" si="17"/>
        <v>3854375</v>
      </c>
      <c r="N96" s="536">
        <f t="shared" si="17"/>
        <v>110</v>
      </c>
      <c r="O96" s="536"/>
      <c r="P96" s="536">
        <f t="shared" si="17"/>
        <v>7527000</v>
      </c>
      <c r="Q96" s="607"/>
      <c r="R96" s="607"/>
      <c r="S96" s="607"/>
      <c r="T96" s="607"/>
      <c r="U96" s="607"/>
      <c r="V96" s="607"/>
    </row>
    <row r="97" spans="1:22" x14ac:dyDescent="0.25">
      <c r="A97" s="424"/>
      <c r="B97" s="332"/>
      <c r="C97" s="607"/>
      <c r="D97" s="607"/>
      <c r="E97" s="607"/>
      <c r="F97" s="515"/>
      <c r="G97" s="515"/>
      <c r="H97" s="515"/>
      <c r="I97" s="515"/>
      <c r="K97" s="340"/>
      <c r="L97" s="607"/>
      <c r="M97" s="607"/>
      <c r="N97" s="607"/>
      <c r="O97" s="607"/>
      <c r="P97" s="607"/>
      <c r="Q97" s="607"/>
      <c r="R97" s="607"/>
      <c r="S97" s="607"/>
      <c r="T97" s="607"/>
      <c r="U97" s="607"/>
      <c r="V97" s="607"/>
    </row>
    <row r="98" spans="1:22" x14ac:dyDescent="0.25">
      <c r="A98" s="607"/>
      <c r="B98" s="607"/>
      <c r="C98" s="339"/>
      <c r="D98" s="339"/>
      <c r="E98" s="339"/>
      <c r="F98" s="339"/>
      <c r="G98" s="339"/>
      <c r="H98" s="339"/>
      <c r="I98" s="339"/>
      <c r="K98" s="607"/>
      <c r="L98" s="607"/>
      <c r="M98" s="607"/>
      <c r="N98" s="607"/>
      <c r="O98" s="607"/>
      <c r="P98" s="607"/>
      <c r="Q98" s="607"/>
      <c r="R98" s="608"/>
      <c r="S98" s="608"/>
      <c r="T98" s="608"/>
      <c r="U98" s="608"/>
      <c r="V98" s="608"/>
    </row>
    <row r="99" spans="1:22" x14ac:dyDescent="0.25">
      <c r="A99" s="332" t="s">
        <v>77</v>
      </c>
      <c r="B99" s="332" t="s">
        <v>50</v>
      </c>
      <c r="C99" s="607"/>
      <c r="D99" s="607"/>
      <c r="E99" s="607"/>
      <c r="F99" s="329" t="s">
        <v>84</v>
      </c>
      <c r="G99" s="341" t="s">
        <v>106</v>
      </c>
      <c r="H99" s="341" t="s">
        <v>108</v>
      </c>
      <c r="I99" s="341" t="s">
        <v>107</v>
      </c>
      <c r="K99" s="607"/>
      <c r="L99" s="608"/>
      <c r="M99" s="608"/>
      <c r="N99" s="608"/>
      <c r="O99" s="608"/>
      <c r="P99" s="608"/>
      <c r="Q99" s="608"/>
      <c r="R99" s="608"/>
      <c r="S99" s="608"/>
      <c r="T99" s="608"/>
      <c r="U99" s="608"/>
      <c r="V99" s="608"/>
    </row>
    <row r="100" spans="1:22" x14ac:dyDescent="0.25">
      <c r="A100" s="332"/>
      <c r="B100" s="332"/>
      <c r="C100" s="607"/>
      <c r="D100" s="607"/>
      <c r="E100" s="607"/>
      <c r="F100" s="329"/>
      <c r="G100" s="341"/>
      <c r="H100" s="341"/>
      <c r="I100" s="341"/>
      <c r="K100" s="607"/>
      <c r="L100" s="608"/>
      <c r="M100" s="608"/>
      <c r="N100" s="608"/>
      <c r="O100" s="608"/>
      <c r="P100" s="608"/>
      <c r="Q100" s="608"/>
      <c r="R100" s="608"/>
      <c r="S100" s="608"/>
      <c r="T100" s="608"/>
      <c r="U100" s="608"/>
      <c r="V100" s="608"/>
    </row>
    <row r="101" spans="1:22" x14ac:dyDescent="0.25">
      <c r="A101" s="332"/>
      <c r="B101" s="607" t="s">
        <v>359</v>
      </c>
      <c r="C101" s="607"/>
      <c r="D101" s="607"/>
      <c r="E101" s="607"/>
      <c r="F101" s="329"/>
      <c r="G101" s="341"/>
      <c r="H101" s="341"/>
      <c r="I101" s="341"/>
      <c r="K101" s="607"/>
      <c r="L101" s="608"/>
      <c r="M101" s="608"/>
      <c r="N101" s="608"/>
      <c r="O101" s="608"/>
      <c r="P101" s="608"/>
      <c r="Q101" s="608"/>
      <c r="R101" s="608"/>
      <c r="S101" s="608"/>
      <c r="T101" s="608"/>
      <c r="U101" s="608"/>
      <c r="V101" s="608"/>
    </row>
    <row r="102" spans="1:22" x14ac:dyDescent="0.25">
      <c r="A102" s="332"/>
      <c r="B102" s="607" t="s">
        <v>360</v>
      </c>
      <c r="C102" s="607"/>
      <c r="D102" s="607"/>
      <c r="E102" s="607"/>
      <c r="F102" s="329"/>
      <c r="G102" s="341"/>
      <c r="H102" s="341"/>
      <c r="I102" s="341"/>
      <c r="K102" s="607"/>
      <c r="L102" s="608"/>
      <c r="M102" s="608"/>
      <c r="N102" s="608"/>
      <c r="O102" s="608"/>
      <c r="P102" s="608"/>
      <c r="Q102" s="608"/>
      <c r="R102" s="608"/>
      <c r="S102" s="608"/>
      <c r="T102" s="608"/>
      <c r="U102" s="608"/>
      <c r="V102" s="608"/>
    </row>
    <row r="103" spans="1:22" x14ac:dyDescent="0.25">
      <c r="A103" s="607"/>
      <c r="B103" s="332"/>
      <c r="C103" s="607"/>
      <c r="D103" s="607"/>
      <c r="E103" s="607"/>
      <c r="F103" s="342"/>
      <c r="G103" s="342"/>
      <c r="H103" s="342"/>
      <c r="I103" s="342"/>
      <c r="K103" s="607"/>
      <c r="L103" s="608"/>
      <c r="M103" s="608"/>
      <c r="N103" s="608"/>
      <c r="O103" s="608"/>
      <c r="P103" s="608"/>
      <c r="Q103" s="608"/>
      <c r="R103" s="608"/>
      <c r="S103" s="608"/>
      <c r="T103" s="608"/>
      <c r="U103" s="608"/>
      <c r="V103" s="608"/>
    </row>
    <row r="104" spans="1:22" x14ac:dyDescent="0.25">
      <c r="A104" s="607"/>
      <c r="B104" s="321" t="s">
        <v>80</v>
      </c>
      <c r="C104" s="321"/>
      <c r="D104" s="321"/>
      <c r="E104" s="321"/>
      <c r="F104" s="325">
        <f>G96</f>
        <v>255202.5</v>
      </c>
      <c r="G104" s="325">
        <f>J96</f>
        <v>916275</v>
      </c>
      <c r="H104" s="325">
        <f>M96</f>
        <v>3854375</v>
      </c>
      <c r="I104" s="325">
        <f>P96</f>
        <v>7527000</v>
      </c>
      <c r="K104" s="607"/>
      <c r="L104" s="608"/>
      <c r="M104" s="608"/>
      <c r="N104" s="608"/>
      <c r="O104" s="608"/>
      <c r="P104" s="608"/>
      <c r="Q104" s="608"/>
      <c r="R104" s="608"/>
      <c r="S104" s="608"/>
      <c r="T104" s="608"/>
      <c r="U104" s="608"/>
      <c r="V104" s="608"/>
    </row>
    <row r="105" spans="1:22" x14ac:dyDescent="0.25">
      <c r="A105" s="607"/>
      <c r="B105" s="607"/>
      <c r="C105" s="607"/>
      <c r="D105" s="607"/>
      <c r="E105" s="607"/>
      <c r="F105" s="607"/>
      <c r="G105" s="607"/>
      <c r="H105" s="607"/>
      <c r="I105" s="607"/>
      <c r="J105" s="607"/>
      <c r="K105" s="607"/>
      <c r="L105" s="608"/>
      <c r="M105" s="608"/>
      <c r="N105" s="608"/>
      <c r="O105" s="608"/>
      <c r="P105" s="608"/>
      <c r="Q105" s="608"/>
      <c r="R105" s="608"/>
      <c r="S105" s="608"/>
      <c r="T105" s="608"/>
      <c r="U105" s="608"/>
      <c r="V105" s="608"/>
    </row>
    <row r="106" spans="1:22" x14ac:dyDescent="0.25">
      <c r="A106" s="607"/>
      <c r="B106" s="607"/>
      <c r="C106" s="607"/>
      <c r="D106" s="607"/>
      <c r="E106" s="607"/>
      <c r="F106" s="607"/>
      <c r="G106" s="607"/>
      <c r="H106" s="607"/>
      <c r="I106" s="607"/>
      <c r="J106" s="607"/>
      <c r="K106" s="607"/>
      <c r="L106" s="608"/>
      <c r="M106" s="608"/>
      <c r="N106" s="608"/>
      <c r="O106" s="608"/>
      <c r="P106" s="608"/>
      <c r="Q106" s="608"/>
      <c r="R106" s="608"/>
      <c r="S106" s="608"/>
      <c r="T106" s="608"/>
      <c r="U106" s="608"/>
      <c r="V106" s="608"/>
    </row>
    <row r="107" spans="1:22" x14ac:dyDescent="0.25">
      <c r="A107" s="332" t="s">
        <v>148</v>
      </c>
      <c r="B107" s="607"/>
      <c r="C107" s="607"/>
      <c r="D107" s="607"/>
      <c r="E107" s="607"/>
      <c r="F107" s="607"/>
      <c r="G107" s="607"/>
      <c r="H107" s="607"/>
      <c r="I107" s="607"/>
      <c r="J107" s="607"/>
      <c r="K107" s="607"/>
      <c r="L107" s="608"/>
      <c r="M107" s="608"/>
      <c r="N107" s="608"/>
      <c r="O107" s="608"/>
      <c r="P107" s="608"/>
      <c r="Q107" s="608"/>
      <c r="R107" s="608"/>
      <c r="S107" s="608"/>
      <c r="T107" s="608"/>
      <c r="U107" s="608"/>
      <c r="V107" s="608"/>
    </row>
    <row r="108" spans="1:22" x14ac:dyDescent="0.25">
      <c r="A108" s="607" t="s">
        <v>72</v>
      </c>
      <c r="B108" s="607"/>
      <c r="C108" s="607"/>
      <c r="D108" s="607"/>
      <c r="E108" s="607"/>
      <c r="F108" s="607"/>
      <c r="G108" s="607"/>
      <c r="H108" s="607"/>
      <c r="I108" s="607"/>
      <c r="J108" s="607"/>
      <c r="K108" s="607"/>
      <c r="L108" s="608"/>
      <c r="M108" s="608"/>
      <c r="N108" s="608"/>
      <c r="O108" s="608"/>
      <c r="P108" s="608"/>
      <c r="Q108" s="608"/>
      <c r="R108" s="608"/>
      <c r="S108" s="608"/>
      <c r="T108" s="608"/>
      <c r="U108" s="608"/>
      <c r="V108" s="608"/>
    </row>
    <row r="109" spans="1:22" x14ac:dyDescent="0.25">
      <c r="A109" s="607" t="s">
        <v>73</v>
      </c>
      <c r="B109" s="607" t="s">
        <v>468</v>
      </c>
      <c r="C109" s="607"/>
      <c r="D109" s="607"/>
      <c r="E109" s="607"/>
      <c r="F109" s="607"/>
      <c r="G109" s="607"/>
      <c r="H109" s="607"/>
      <c r="I109" s="607"/>
      <c r="J109" s="607"/>
      <c r="K109" s="607"/>
      <c r="L109" s="608"/>
      <c r="M109" s="608"/>
      <c r="N109" s="608"/>
      <c r="O109" s="608"/>
      <c r="P109" s="608"/>
      <c r="Q109" s="608"/>
      <c r="R109" s="608"/>
      <c r="S109" s="608"/>
      <c r="T109" s="608"/>
      <c r="U109" s="608"/>
      <c r="V109" s="608"/>
    </row>
    <row r="110" spans="1:22" x14ac:dyDescent="0.25">
      <c r="A110" s="607" t="s">
        <v>74</v>
      </c>
      <c r="B110" s="607" t="s">
        <v>468</v>
      </c>
      <c r="C110" s="607"/>
      <c r="D110" s="607"/>
      <c r="E110" s="607"/>
      <c r="F110" s="607"/>
      <c r="G110" s="607"/>
      <c r="H110" s="607"/>
      <c r="I110" s="607"/>
      <c r="J110" s="607"/>
      <c r="K110" s="607"/>
      <c r="L110" s="608"/>
      <c r="M110" s="608"/>
      <c r="N110" s="608"/>
      <c r="O110" s="608"/>
      <c r="P110" s="608"/>
      <c r="Q110" s="608"/>
      <c r="R110" s="608"/>
      <c r="S110" s="608"/>
      <c r="T110" s="608"/>
      <c r="U110" s="608"/>
      <c r="V110" s="608"/>
    </row>
    <row r="111" spans="1:22" x14ac:dyDescent="0.25">
      <c r="A111" s="607" t="s">
        <v>75</v>
      </c>
      <c r="B111" s="607" t="s">
        <v>468</v>
      </c>
      <c r="C111" s="607"/>
      <c r="D111" s="607"/>
      <c r="E111" s="607"/>
      <c r="F111" s="607"/>
      <c r="G111" s="607"/>
      <c r="H111" s="607"/>
      <c r="I111" s="607"/>
      <c r="J111" s="607"/>
      <c r="K111" s="607"/>
      <c r="L111" s="608"/>
      <c r="M111" s="608"/>
      <c r="N111" s="608"/>
      <c r="O111" s="608"/>
      <c r="P111" s="608"/>
      <c r="Q111" s="608"/>
      <c r="R111" s="608"/>
      <c r="S111" s="608"/>
      <c r="T111" s="608"/>
      <c r="U111" s="608"/>
      <c r="V111" s="608"/>
    </row>
    <row r="112" spans="1:22" x14ac:dyDescent="0.25">
      <c r="A112" s="607" t="s">
        <v>76</v>
      </c>
      <c r="B112" s="607" t="s">
        <v>468</v>
      </c>
      <c r="C112" s="607"/>
      <c r="D112" s="607"/>
      <c r="E112" s="607"/>
      <c r="F112" s="607"/>
      <c r="G112" s="607"/>
      <c r="H112" s="607"/>
      <c r="I112" s="607"/>
      <c r="J112" s="607"/>
      <c r="K112" s="607"/>
      <c r="L112" s="608"/>
      <c r="M112" s="608"/>
      <c r="N112" s="608"/>
      <c r="O112" s="608"/>
      <c r="P112" s="608"/>
      <c r="Q112" s="608"/>
      <c r="R112" s="608"/>
      <c r="S112" s="608"/>
      <c r="T112" s="608"/>
      <c r="U112" s="608"/>
      <c r="V112" s="608"/>
    </row>
    <row r="113" spans="1:22" x14ac:dyDescent="0.25">
      <c r="A113" s="607" t="s">
        <v>77</v>
      </c>
      <c r="B113" s="607" t="s">
        <v>468</v>
      </c>
      <c r="C113" s="607"/>
      <c r="D113" s="607"/>
      <c r="E113" s="607"/>
      <c r="F113" s="607"/>
      <c r="G113" s="607"/>
      <c r="H113" s="607"/>
      <c r="I113" s="607"/>
      <c r="J113" s="607"/>
      <c r="K113" s="607"/>
      <c r="L113" s="608"/>
      <c r="M113" s="608"/>
      <c r="N113" s="608"/>
      <c r="O113" s="608"/>
      <c r="P113" s="608"/>
      <c r="Q113" s="608"/>
      <c r="R113" s="608"/>
      <c r="S113" s="608"/>
      <c r="T113" s="608"/>
      <c r="U113" s="608"/>
      <c r="V113" s="608"/>
    </row>
    <row r="114" spans="1:22" x14ac:dyDescent="0.25">
      <c r="A114" s="607"/>
      <c r="B114" s="607"/>
      <c r="C114" s="607"/>
      <c r="D114" s="607"/>
      <c r="E114" s="607"/>
      <c r="F114" s="607"/>
      <c r="G114" s="607"/>
      <c r="H114" s="607"/>
      <c r="I114" s="607"/>
      <c r="J114" s="607"/>
      <c r="K114" s="607"/>
      <c r="L114" s="608"/>
      <c r="M114" s="608"/>
      <c r="N114" s="608"/>
      <c r="O114" s="608"/>
      <c r="P114" s="608"/>
      <c r="Q114" s="608"/>
      <c r="R114" s="608"/>
      <c r="S114" s="608"/>
      <c r="T114" s="608"/>
      <c r="U114" s="608"/>
      <c r="V114" s="608"/>
    </row>
    <row r="115" spans="1:22" x14ac:dyDescent="0.25">
      <c r="A115" s="332" t="s">
        <v>212</v>
      </c>
      <c r="B115" s="607"/>
      <c r="C115" s="607"/>
      <c r="D115" s="607"/>
      <c r="E115" s="607"/>
      <c r="F115" s="607"/>
      <c r="G115" s="607"/>
      <c r="H115" s="607"/>
      <c r="I115" s="607"/>
      <c r="J115" s="607"/>
      <c r="K115" s="607"/>
      <c r="L115" s="608"/>
      <c r="M115" s="608"/>
      <c r="N115" s="608"/>
      <c r="O115" s="608"/>
      <c r="P115" s="608"/>
      <c r="Q115" s="608"/>
      <c r="R115" s="608"/>
      <c r="S115" s="608"/>
      <c r="T115" s="608"/>
      <c r="U115" s="608"/>
      <c r="V115" s="608"/>
    </row>
    <row r="116" spans="1:22" x14ac:dyDescent="0.25">
      <c r="A116" s="607" t="s">
        <v>72</v>
      </c>
      <c r="B116" s="607" t="s">
        <v>467</v>
      </c>
      <c r="C116" s="607"/>
      <c r="D116" s="607"/>
      <c r="E116" s="607"/>
      <c r="F116" s="607"/>
      <c r="G116" s="607"/>
      <c r="H116" s="607"/>
      <c r="I116" s="607"/>
      <c r="J116" s="607"/>
      <c r="K116" s="607"/>
    </row>
    <row r="117" spans="1:22" x14ac:dyDescent="0.25">
      <c r="A117" s="607" t="s">
        <v>73</v>
      </c>
      <c r="B117" s="607" t="s">
        <v>467</v>
      </c>
      <c r="C117" s="607"/>
      <c r="D117" s="607"/>
      <c r="E117" s="607"/>
      <c r="F117" s="607"/>
      <c r="G117" s="607"/>
      <c r="H117" s="607"/>
      <c r="I117" s="607"/>
      <c r="J117" s="607"/>
      <c r="K117" s="607"/>
    </row>
    <row r="118" spans="1:22" x14ac:dyDescent="0.25">
      <c r="A118" s="607" t="s">
        <v>74</v>
      </c>
      <c r="B118" s="607" t="s">
        <v>467</v>
      </c>
      <c r="C118" s="607"/>
      <c r="D118" s="607"/>
      <c r="E118" s="607"/>
      <c r="F118" s="607"/>
      <c r="G118" s="607"/>
      <c r="H118" s="607"/>
      <c r="I118" s="607"/>
      <c r="J118" s="607"/>
      <c r="K118" s="607"/>
    </row>
    <row r="119" spans="1:22" x14ac:dyDescent="0.25">
      <c r="A119" s="607" t="s">
        <v>75</v>
      </c>
      <c r="B119" s="607" t="s">
        <v>467</v>
      </c>
      <c r="C119" s="607"/>
      <c r="D119" s="607"/>
      <c r="E119" s="607"/>
      <c r="F119" s="607"/>
      <c r="G119" s="607"/>
      <c r="H119" s="607"/>
      <c r="I119" s="607"/>
      <c r="J119" s="607"/>
      <c r="K119" s="607"/>
    </row>
    <row r="120" spans="1:22" s="595" customFormat="1" x14ac:dyDescent="0.25">
      <c r="A120" s="332" t="s">
        <v>76</v>
      </c>
      <c r="B120" s="332" t="s">
        <v>984</v>
      </c>
      <c r="C120" s="332"/>
      <c r="D120" s="332"/>
      <c r="E120" s="332"/>
      <c r="F120" s="332"/>
      <c r="G120" s="332"/>
      <c r="H120" s="332"/>
      <c r="I120" s="332"/>
      <c r="J120" s="332"/>
      <c r="K120" s="332"/>
    </row>
    <row r="121" spans="1:22" x14ac:dyDescent="0.25">
      <c r="A121" s="607" t="s">
        <v>77</v>
      </c>
      <c r="B121" s="607" t="s">
        <v>467</v>
      </c>
      <c r="C121" s="607"/>
      <c r="D121" s="607"/>
      <c r="E121" s="607"/>
      <c r="F121" s="607"/>
      <c r="G121" s="607"/>
      <c r="H121" s="607"/>
      <c r="I121" s="607"/>
      <c r="J121" s="607"/>
      <c r="K121" s="607"/>
    </row>
    <row r="122" spans="1:22" x14ac:dyDescent="0.25">
      <c r="A122" s="607"/>
      <c r="B122" s="607"/>
      <c r="C122" s="607"/>
      <c r="D122" s="607"/>
      <c r="E122" s="607"/>
      <c r="F122" s="607"/>
      <c r="G122" s="607"/>
      <c r="H122" s="607"/>
      <c r="I122" s="607"/>
      <c r="J122" s="607"/>
      <c r="K122" s="607"/>
    </row>
    <row r="123" spans="1:22" x14ac:dyDescent="0.25">
      <c r="A123" s="607"/>
      <c r="B123" s="607"/>
      <c r="C123" s="607"/>
      <c r="D123" s="607"/>
      <c r="E123" s="607"/>
      <c r="F123" s="607"/>
      <c r="G123" s="607"/>
      <c r="H123" s="607"/>
      <c r="I123" s="607"/>
      <c r="J123" s="607"/>
      <c r="K123" s="607"/>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V123"/>
  <sheetViews>
    <sheetView zoomScale="70" zoomScaleNormal="70" zoomScalePageLayoutView="70" workbookViewId="0">
      <selection activeCell="B32" sqref="B32"/>
    </sheetView>
  </sheetViews>
  <sheetFormatPr defaultColWidth="8.85546875" defaultRowHeight="15" x14ac:dyDescent="0.25"/>
  <cols>
    <col min="1" max="1" width="6.85546875" style="5" customWidth="1"/>
    <col min="2" max="2" width="3.7109375" style="5" customWidth="1"/>
    <col min="3" max="3" width="25.42578125" style="5" customWidth="1"/>
    <col min="4" max="4" width="31.42578125" style="5" customWidth="1"/>
    <col min="5" max="5" width="13.42578125" style="5" customWidth="1"/>
    <col min="6" max="6" width="15" style="5" bestFit="1" customWidth="1"/>
    <col min="7" max="7" width="16.85546875" style="5" bestFit="1" customWidth="1"/>
    <col min="8" max="8" width="16.42578125" style="5" bestFit="1" customWidth="1"/>
    <col min="9" max="9" width="15.85546875" style="5" customWidth="1"/>
    <col min="10" max="10" width="13.28515625" style="5" customWidth="1"/>
    <col min="11" max="11" width="13.42578125" style="5" bestFit="1" customWidth="1"/>
    <col min="12" max="12" width="13.140625" style="5" bestFit="1" customWidth="1"/>
    <col min="13" max="13" width="14.42578125" style="5" bestFit="1" customWidth="1"/>
    <col min="14" max="14" width="14" style="5" customWidth="1"/>
    <col min="15" max="15" width="13.140625" style="5" bestFit="1" customWidth="1"/>
    <col min="16" max="16" width="15.42578125" style="5" bestFit="1" customWidth="1"/>
    <col min="17" max="17" width="15" style="5" customWidth="1"/>
    <col min="18" max="18" width="13.42578125" style="5" bestFit="1" customWidth="1"/>
    <col min="19" max="19" width="12" style="5" bestFit="1" customWidth="1"/>
    <col min="20" max="20" width="10.7109375" style="5" customWidth="1"/>
    <col min="21" max="21" width="13.42578125" style="5" bestFit="1" customWidth="1"/>
    <col min="22" max="22" width="15.28515625" style="5" customWidth="1"/>
    <col min="23" max="16384" width="8.85546875" style="5"/>
  </cols>
  <sheetData>
    <row r="1" spans="1:22" s="8" customFormat="1" x14ac:dyDescent="0.25">
      <c r="A1" s="332" t="s">
        <v>368</v>
      </c>
      <c r="B1" s="363"/>
      <c r="C1" s="363"/>
      <c r="D1" s="363"/>
      <c r="E1" s="363"/>
      <c r="F1" s="363"/>
      <c r="G1" s="363"/>
      <c r="H1" s="363"/>
      <c r="I1" s="363"/>
      <c r="J1" s="363"/>
      <c r="K1" s="363"/>
      <c r="L1" s="363"/>
      <c r="M1" s="363"/>
      <c r="N1" s="363"/>
      <c r="O1" s="363"/>
      <c r="P1" s="422"/>
      <c r="Q1" s="422"/>
      <c r="R1" s="422"/>
      <c r="S1" s="422"/>
      <c r="T1" s="422"/>
      <c r="U1" s="363"/>
      <c r="V1" s="363"/>
    </row>
    <row r="2" spans="1:22" s="64" customFormat="1" x14ac:dyDescent="0.25">
      <c r="A2" s="363"/>
      <c r="B2" s="363"/>
      <c r="C2" s="363"/>
      <c r="D2" s="363"/>
      <c r="E2" s="363"/>
      <c r="F2" s="363"/>
      <c r="G2" s="363"/>
      <c r="H2" s="363"/>
      <c r="I2" s="363"/>
      <c r="J2" s="363"/>
      <c r="K2" s="363"/>
      <c r="L2" s="363"/>
      <c r="M2" s="363"/>
      <c r="N2" s="363"/>
      <c r="O2" s="363"/>
      <c r="P2" s="422"/>
      <c r="Q2" s="422"/>
      <c r="R2" s="422"/>
      <c r="S2" s="422"/>
      <c r="T2" s="422"/>
      <c r="U2" s="363"/>
      <c r="V2" s="363"/>
    </row>
    <row r="3" spans="1:22" s="56" customFormat="1" x14ac:dyDescent="0.25">
      <c r="A3" s="332" t="s">
        <v>109</v>
      </c>
      <c r="B3" s="363"/>
      <c r="C3" s="363"/>
      <c r="D3" s="363"/>
      <c r="E3" s="363"/>
      <c r="F3" s="363"/>
      <c r="G3" s="363"/>
      <c r="H3" s="363"/>
      <c r="I3" s="363"/>
      <c r="J3" s="363"/>
      <c r="K3" s="363"/>
      <c r="L3" s="363"/>
      <c r="M3" s="363"/>
      <c r="N3" s="363"/>
      <c r="O3" s="363"/>
      <c r="P3" s="422"/>
      <c r="Q3" s="422"/>
      <c r="R3" s="422"/>
      <c r="S3" s="422"/>
      <c r="T3" s="422"/>
      <c r="U3" s="363"/>
      <c r="V3" s="363"/>
    </row>
    <row r="4" spans="1:22" s="56" customFormat="1" x14ac:dyDescent="0.25">
      <c r="A4" s="363"/>
      <c r="B4" s="363"/>
      <c r="C4" s="363"/>
      <c r="D4" s="363"/>
      <c r="E4" s="363" t="s">
        <v>65</v>
      </c>
      <c r="F4" s="363">
        <v>1</v>
      </c>
      <c r="G4" s="363">
        <v>10</v>
      </c>
      <c r="H4" s="363">
        <v>50</v>
      </c>
      <c r="I4" s="363">
        <v>100</v>
      </c>
      <c r="J4" s="363"/>
      <c r="K4" s="363"/>
      <c r="L4" s="363"/>
      <c r="M4" s="363"/>
      <c r="N4" s="363"/>
      <c r="O4" s="363"/>
      <c r="P4" s="422"/>
      <c r="Q4" s="475"/>
      <c r="R4" s="422"/>
      <c r="S4" s="422"/>
      <c r="T4" s="422"/>
      <c r="U4" s="363"/>
      <c r="V4" s="363"/>
    </row>
    <row r="5" spans="1:22" s="56" customFormat="1" x14ac:dyDescent="0.25">
      <c r="A5" s="363"/>
      <c r="B5" s="334" t="s">
        <v>72</v>
      </c>
      <c r="C5" s="363"/>
      <c r="D5" s="363" t="s">
        <v>47</v>
      </c>
      <c r="E5" s="363"/>
      <c r="F5" s="342">
        <f>F20</f>
        <v>29750</v>
      </c>
      <c r="G5" s="342">
        <f>G20</f>
        <v>297500</v>
      </c>
      <c r="H5" s="342">
        <f>H20</f>
        <v>1487500</v>
      </c>
      <c r="I5" s="342">
        <f>I20</f>
        <v>2975000</v>
      </c>
      <c r="J5" s="363"/>
      <c r="K5" s="363"/>
      <c r="L5" s="363"/>
      <c r="M5" s="363"/>
      <c r="N5" s="363"/>
      <c r="O5" s="363"/>
      <c r="P5" s="475"/>
      <c r="Q5" s="476"/>
      <c r="R5" s="476"/>
      <c r="S5" s="476"/>
      <c r="T5" s="476"/>
      <c r="U5" s="363"/>
      <c r="V5" s="363"/>
    </row>
    <row r="6" spans="1:22" s="56" customFormat="1" x14ac:dyDescent="0.25">
      <c r="A6" s="363"/>
      <c r="B6" s="334" t="s">
        <v>73</v>
      </c>
      <c r="C6" s="363"/>
      <c r="D6" s="363" t="s">
        <v>48</v>
      </c>
      <c r="E6" s="363"/>
      <c r="F6" s="342">
        <f>F34</f>
        <v>667000</v>
      </c>
      <c r="G6" s="342">
        <f t="shared" ref="G6:I6" si="0">G34</f>
        <v>767200</v>
      </c>
      <c r="H6" s="342">
        <f t="shared" si="0"/>
        <v>767200</v>
      </c>
      <c r="I6" s="342">
        <f t="shared" si="0"/>
        <v>1534000</v>
      </c>
      <c r="J6" s="363"/>
      <c r="K6" s="363"/>
      <c r="L6" s="363"/>
      <c r="M6" s="363"/>
      <c r="N6" s="363"/>
      <c r="O6" s="363"/>
      <c r="P6" s="475"/>
      <c r="Q6" s="476"/>
      <c r="R6" s="476"/>
      <c r="S6" s="476"/>
      <c r="T6" s="476"/>
      <c r="U6" s="363"/>
      <c r="V6" s="363"/>
    </row>
    <row r="7" spans="1:22" s="56" customFormat="1" x14ac:dyDescent="0.25">
      <c r="A7" s="363"/>
      <c r="B7" s="334" t="s">
        <v>74</v>
      </c>
      <c r="C7" s="363"/>
      <c r="D7" s="363" t="s">
        <v>70</v>
      </c>
      <c r="E7" s="363"/>
      <c r="F7" s="342">
        <f>G52</f>
        <v>3193833.5500000003</v>
      </c>
      <c r="G7" s="342">
        <f>J52</f>
        <v>3904558.5555555555</v>
      </c>
      <c r="H7" s="342">
        <f>M52</f>
        <v>7063960.777777778</v>
      </c>
      <c r="I7" s="342">
        <f>P52</f>
        <v>11013213.555555556</v>
      </c>
      <c r="J7" s="363"/>
      <c r="K7" s="363"/>
      <c r="L7" s="363"/>
      <c r="M7" s="363"/>
      <c r="N7" s="363"/>
      <c r="O7" s="363"/>
      <c r="P7" s="475"/>
      <c r="Q7" s="476"/>
      <c r="R7" s="476"/>
      <c r="S7" s="476"/>
      <c r="T7" s="476"/>
      <c r="U7" s="363"/>
      <c r="V7" s="363"/>
    </row>
    <row r="8" spans="1:22" s="56" customFormat="1" x14ac:dyDescent="0.25">
      <c r="A8" s="363"/>
      <c r="B8" s="334" t="s">
        <v>75</v>
      </c>
      <c r="C8" s="363"/>
      <c r="D8" s="363" t="s">
        <v>231</v>
      </c>
      <c r="E8" s="363"/>
      <c r="F8" s="342">
        <f>G79</f>
        <v>1507533.78</v>
      </c>
      <c r="G8" s="342">
        <f>J79</f>
        <v>2280164.6</v>
      </c>
      <c r="H8" s="342">
        <f>M79</f>
        <v>4503814.5999999996</v>
      </c>
      <c r="I8" s="342">
        <f>P79</f>
        <v>7283377.0999999996</v>
      </c>
      <c r="J8" s="363"/>
      <c r="K8" s="363"/>
      <c r="L8" s="363"/>
      <c r="M8" s="363"/>
      <c r="N8" s="363"/>
      <c r="O8" s="363"/>
      <c r="P8" s="475"/>
      <c r="Q8" s="476"/>
      <c r="R8" s="476"/>
      <c r="S8" s="476"/>
      <c r="T8" s="476"/>
      <c r="U8" s="363"/>
      <c r="V8" s="363"/>
    </row>
    <row r="9" spans="1:22" s="56" customFormat="1" x14ac:dyDescent="0.25">
      <c r="A9" s="363"/>
      <c r="B9" s="334" t="s">
        <v>76</v>
      </c>
      <c r="C9" s="363"/>
      <c r="D9" s="363" t="s">
        <v>49</v>
      </c>
      <c r="E9" s="363"/>
      <c r="F9" s="342">
        <f>G96</f>
        <v>255202.5</v>
      </c>
      <c r="G9" s="342">
        <f>J96</f>
        <v>916275</v>
      </c>
      <c r="H9" s="342">
        <f>M96</f>
        <v>3854375</v>
      </c>
      <c r="I9" s="342">
        <f>P96</f>
        <v>7527000</v>
      </c>
      <c r="J9" s="363"/>
      <c r="K9" s="363"/>
      <c r="L9" s="363"/>
      <c r="M9" s="363"/>
      <c r="N9" s="363"/>
      <c r="O9" s="363"/>
      <c r="P9" s="475"/>
      <c r="Q9" s="476"/>
      <c r="R9" s="476"/>
      <c r="S9" s="476"/>
      <c r="T9" s="476"/>
      <c r="U9" s="363"/>
      <c r="V9" s="363"/>
    </row>
    <row r="10" spans="1:22" s="56" customFormat="1" x14ac:dyDescent="0.25">
      <c r="A10" s="363"/>
      <c r="B10" s="334" t="s">
        <v>77</v>
      </c>
      <c r="C10" s="363"/>
      <c r="D10" s="363" t="s">
        <v>1030</v>
      </c>
      <c r="E10" s="363"/>
      <c r="F10" s="342">
        <f>F104</f>
        <v>255202.5</v>
      </c>
      <c r="G10" s="342">
        <f>G104</f>
        <v>916275</v>
      </c>
      <c r="H10" s="342">
        <f>H104</f>
        <v>3854375</v>
      </c>
      <c r="I10" s="342">
        <f>I104</f>
        <v>7527000</v>
      </c>
      <c r="J10" s="363"/>
      <c r="K10" s="363"/>
      <c r="L10" s="363"/>
      <c r="M10" s="363"/>
      <c r="N10" s="363"/>
      <c r="O10" s="363"/>
      <c r="P10" s="363"/>
      <c r="Q10" s="363"/>
      <c r="R10" s="363"/>
      <c r="S10" s="363"/>
      <c r="T10" s="363"/>
      <c r="U10" s="363"/>
      <c r="V10" s="363"/>
    </row>
    <row r="11" spans="1:22" s="56" customFormat="1" x14ac:dyDescent="0.25">
      <c r="A11" s="363"/>
      <c r="B11" s="363"/>
      <c r="C11" s="363"/>
      <c r="D11" s="363"/>
      <c r="E11" s="363"/>
      <c r="F11" s="363"/>
      <c r="G11" s="363"/>
      <c r="H11" s="363"/>
      <c r="I11" s="363"/>
      <c r="J11" s="363"/>
      <c r="K11" s="363"/>
      <c r="L11" s="363"/>
      <c r="M11" s="363"/>
      <c r="N11" s="363"/>
      <c r="O11" s="363"/>
      <c r="P11" s="363"/>
      <c r="Q11" s="363"/>
      <c r="R11" s="363"/>
      <c r="S11" s="363"/>
      <c r="T11" s="363"/>
      <c r="U11" s="363"/>
      <c r="V11" s="363"/>
    </row>
    <row r="12" spans="1:22" s="478" customFormat="1" x14ac:dyDescent="0.25">
      <c r="A12" s="409"/>
      <c r="B12" s="321" t="s">
        <v>80</v>
      </c>
      <c r="C12" s="321"/>
      <c r="D12" s="321"/>
      <c r="E12" s="321"/>
      <c r="F12" s="325">
        <f>SUM(F5:F10)</f>
        <v>5908522.3300000001</v>
      </c>
      <c r="G12" s="325">
        <f t="shared" ref="G12:I12" si="1">SUM(G5:G10)</f>
        <v>9081973.1555555556</v>
      </c>
      <c r="H12" s="325">
        <f t="shared" si="1"/>
        <v>21531225.377777778</v>
      </c>
      <c r="I12" s="325">
        <f t="shared" si="1"/>
        <v>37859590.655555554</v>
      </c>
      <c r="J12" s="409"/>
      <c r="K12" s="409"/>
      <c r="L12" s="409"/>
      <c r="M12" s="409"/>
      <c r="N12" s="409"/>
      <c r="O12" s="409"/>
      <c r="P12" s="409"/>
      <c r="Q12" s="409"/>
      <c r="R12" s="409"/>
      <c r="S12" s="409"/>
      <c r="T12" s="409"/>
      <c r="U12" s="409"/>
      <c r="V12" s="409"/>
    </row>
    <row r="13" spans="1:22" s="56" customFormat="1" x14ac:dyDescent="0.25">
      <c r="A13" s="363"/>
      <c r="B13" s="363"/>
      <c r="C13" s="363"/>
      <c r="D13" s="363"/>
      <c r="E13" s="363"/>
      <c r="F13" s="363"/>
      <c r="G13" s="363"/>
      <c r="H13" s="363"/>
      <c r="I13" s="363"/>
      <c r="J13" s="339"/>
      <c r="K13" s="339"/>
      <c r="L13" s="339"/>
      <c r="M13" s="339"/>
      <c r="N13" s="339"/>
      <c r="O13" s="339"/>
      <c r="P13" s="363"/>
      <c r="Q13" s="363"/>
      <c r="R13" s="363"/>
      <c r="S13" s="363"/>
      <c r="T13" s="363"/>
      <c r="U13" s="363"/>
      <c r="V13" s="363"/>
    </row>
    <row r="14" spans="1:22" s="8" customFormat="1" x14ac:dyDescent="0.25">
      <c r="A14" s="363"/>
      <c r="B14" s="363"/>
      <c r="C14" s="363"/>
      <c r="D14" s="363"/>
      <c r="E14" s="363"/>
      <c r="F14" s="322"/>
      <c r="G14" s="341" t="s">
        <v>259</v>
      </c>
      <c r="H14" s="322" t="s">
        <v>65</v>
      </c>
      <c r="I14" s="361"/>
      <c r="K14" s="339"/>
      <c r="L14" s="339"/>
      <c r="M14" s="339"/>
      <c r="N14" s="339"/>
      <c r="O14" s="339"/>
      <c r="P14" s="363"/>
      <c r="Q14" s="363"/>
      <c r="R14" s="363"/>
      <c r="S14" s="363"/>
      <c r="T14" s="363"/>
      <c r="U14" s="363"/>
      <c r="V14" s="363"/>
    </row>
    <row r="15" spans="1:22" s="8" customFormat="1" x14ac:dyDescent="0.25">
      <c r="A15" s="332" t="s">
        <v>72</v>
      </c>
      <c r="B15" s="332" t="s">
        <v>90</v>
      </c>
      <c r="C15" s="363"/>
      <c r="D15" s="363"/>
      <c r="F15" s="515">
        <v>1</v>
      </c>
      <c r="G15" s="515">
        <v>10</v>
      </c>
      <c r="H15" s="515">
        <v>50</v>
      </c>
      <c r="I15" s="515">
        <v>100</v>
      </c>
      <c r="K15" s="339"/>
      <c r="L15" s="339"/>
      <c r="M15" s="339"/>
      <c r="N15" s="339"/>
      <c r="O15" s="339"/>
      <c r="P15" s="363"/>
      <c r="Q15" s="363"/>
      <c r="R15" s="363"/>
      <c r="S15" s="363"/>
      <c r="T15" s="363"/>
      <c r="U15" s="363"/>
      <c r="V15" s="363"/>
    </row>
    <row r="16" spans="1:22" s="478" customFormat="1" x14ac:dyDescent="0.25">
      <c r="A16" s="332"/>
      <c r="B16" s="332"/>
      <c r="C16" s="409"/>
      <c r="D16" s="409"/>
      <c r="F16" s="329"/>
      <c r="G16" s="341"/>
      <c r="H16" s="341"/>
      <c r="I16" s="341"/>
      <c r="K16" s="339"/>
      <c r="L16" s="339"/>
      <c r="M16" s="339"/>
      <c r="N16" s="339"/>
      <c r="O16" s="339"/>
      <c r="P16" s="409"/>
      <c r="Q16" s="409"/>
      <c r="R16" s="409"/>
      <c r="S16" s="409"/>
      <c r="T16" s="409"/>
      <c r="U16" s="409"/>
      <c r="V16" s="409"/>
    </row>
    <row r="17" spans="1:22" s="478" customFormat="1" x14ac:dyDescent="0.25">
      <c r="A17" s="332"/>
      <c r="B17" s="409" t="s">
        <v>310</v>
      </c>
      <c r="C17" s="409"/>
      <c r="D17" s="409"/>
      <c r="F17" s="516">
        <v>29750</v>
      </c>
      <c r="G17" s="516">
        <f>F17*G15</f>
        <v>297500</v>
      </c>
      <c r="H17" s="516">
        <f>F17*H15</f>
        <v>1487500</v>
      </c>
      <c r="I17" s="516">
        <f>F17*I15</f>
        <v>2975000</v>
      </c>
      <c r="K17" s="339"/>
      <c r="L17" s="339"/>
      <c r="M17" s="339"/>
      <c r="N17" s="339"/>
      <c r="O17" s="339"/>
      <c r="P17" s="409"/>
      <c r="Q17" s="409"/>
      <c r="R17" s="409"/>
      <c r="S17" s="409"/>
      <c r="T17" s="409"/>
      <c r="U17" s="409"/>
      <c r="V17" s="409"/>
    </row>
    <row r="18" spans="1:22" s="478" customFormat="1" x14ac:dyDescent="0.25">
      <c r="A18" s="332"/>
      <c r="B18" s="409" t="s">
        <v>309</v>
      </c>
      <c r="C18" s="409"/>
      <c r="D18" s="409"/>
      <c r="F18" s="329"/>
      <c r="G18" s="341"/>
      <c r="H18" s="341"/>
      <c r="I18" s="341"/>
      <c r="K18" s="339"/>
      <c r="L18" s="339"/>
      <c r="M18" s="339"/>
      <c r="N18" s="339"/>
      <c r="O18" s="339"/>
      <c r="P18" s="409"/>
      <c r="Q18" s="409"/>
      <c r="R18" s="409"/>
      <c r="S18" s="409"/>
      <c r="T18" s="409"/>
      <c r="U18" s="409"/>
      <c r="V18" s="409"/>
    </row>
    <row r="19" spans="1:22" s="68" customFormat="1" x14ac:dyDescent="0.25">
      <c r="A19" s="363"/>
      <c r="B19" s="363"/>
      <c r="C19" s="409"/>
      <c r="D19" s="409"/>
      <c r="E19" s="409"/>
      <c r="F19" s="409"/>
      <c r="G19" s="409"/>
      <c r="H19" s="409"/>
      <c r="I19" s="409"/>
      <c r="K19" s="339"/>
      <c r="L19" s="339"/>
      <c r="M19" s="339"/>
      <c r="N19" s="339"/>
      <c r="O19" s="339"/>
      <c r="P19" s="363"/>
      <c r="Q19" s="363"/>
      <c r="R19" s="363"/>
      <c r="S19" s="363"/>
      <c r="T19" s="363"/>
      <c r="U19" s="363"/>
      <c r="V19" s="363"/>
    </row>
    <row r="20" spans="1:22" s="68" customFormat="1" x14ac:dyDescent="0.25">
      <c r="A20" s="363"/>
      <c r="B20" s="321" t="s">
        <v>80</v>
      </c>
      <c r="C20" s="321"/>
      <c r="D20" s="321"/>
      <c r="E20" s="321"/>
      <c r="F20" s="325">
        <f>SUM(F17:F18)</f>
        <v>29750</v>
      </c>
      <c r="G20" s="325">
        <f t="shared" ref="G20:I20" si="2">SUM(G17:G18)</f>
        <v>297500</v>
      </c>
      <c r="H20" s="325">
        <f t="shared" si="2"/>
        <v>1487500</v>
      </c>
      <c r="I20" s="325">
        <f t="shared" si="2"/>
        <v>2975000</v>
      </c>
      <c r="K20" s="339"/>
      <c r="L20" s="339"/>
      <c r="M20" s="339"/>
      <c r="N20" s="339"/>
      <c r="O20" s="339"/>
      <c r="P20" s="363"/>
      <c r="Q20" s="363"/>
      <c r="R20" s="363"/>
      <c r="S20" s="363"/>
      <c r="T20" s="363"/>
      <c r="U20" s="363"/>
      <c r="V20" s="363"/>
    </row>
    <row r="21" spans="1:22" s="68" customFormat="1" x14ac:dyDescent="0.25">
      <c r="A21" s="363"/>
      <c r="B21" s="363"/>
      <c r="C21" s="363"/>
      <c r="D21" s="363"/>
      <c r="E21" s="363"/>
      <c r="F21" s="322"/>
      <c r="G21" s="322"/>
      <c r="H21" s="322"/>
      <c r="I21" s="361"/>
      <c r="K21" s="327"/>
      <c r="L21" s="327"/>
      <c r="M21" s="327"/>
      <c r="N21" s="327"/>
      <c r="O21" s="339"/>
      <c r="P21" s="363"/>
      <c r="Q21" s="363"/>
      <c r="R21" s="363"/>
      <c r="S21" s="363"/>
      <c r="T21" s="363"/>
      <c r="U21" s="363"/>
      <c r="V21" s="363"/>
    </row>
    <row r="22" spans="1:22" s="8" customFormat="1" x14ac:dyDescent="0.25">
      <c r="A22" s="363"/>
      <c r="B22" s="363"/>
      <c r="C22" s="363"/>
      <c r="D22" s="363"/>
      <c r="E22" s="422"/>
      <c r="F22" s="478"/>
      <c r="G22" s="96" t="s">
        <v>259</v>
      </c>
      <c r="H22" s="389" t="s">
        <v>65</v>
      </c>
      <c r="I22" s="389"/>
      <c r="K22" s="422"/>
      <c r="L22" s="422"/>
      <c r="M22" s="422"/>
      <c r="N22" s="422"/>
      <c r="O22" s="422"/>
      <c r="P22" s="422"/>
      <c r="Q22" s="422"/>
      <c r="R22" s="422"/>
      <c r="S22" s="422"/>
      <c r="T22" s="422"/>
      <c r="U22" s="422"/>
      <c r="V22" s="422"/>
    </row>
    <row r="23" spans="1:22" s="8" customFormat="1" x14ac:dyDescent="0.25">
      <c r="A23" s="424" t="s">
        <v>73</v>
      </c>
      <c r="B23" s="332" t="s">
        <v>233</v>
      </c>
      <c r="C23" s="363"/>
      <c r="D23" s="363"/>
      <c r="E23" s="422"/>
      <c r="F23" s="515">
        <v>1</v>
      </c>
      <c r="G23" s="515">
        <v>10</v>
      </c>
      <c r="H23" s="515">
        <v>50</v>
      </c>
      <c r="I23" s="515">
        <v>100</v>
      </c>
      <c r="K23" s="421"/>
      <c r="L23" s="421"/>
      <c r="M23" s="421"/>
      <c r="N23" s="421"/>
      <c r="O23" s="421"/>
      <c r="P23" s="421"/>
      <c r="Q23" s="414"/>
      <c r="R23" s="414"/>
      <c r="S23" s="421"/>
      <c r="T23" s="421"/>
      <c r="U23" s="421"/>
      <c r="V23" s="422"/>
    </row>
    <row r="24" spans="1:22" s="478" customFormat="1" x14ac:dyDescent="0.25">
      <c r="A24" s="424"/>
      <c r="B24" s="332"/>
      <c r="C24" s="409"/>
      <c r="D24" s="409"/>
      <c r="E24" s="422"/>
      <c r="F24" s="422"/>
      <c r="G24" s="329"/>
      <c r="H24" s="341"/>
      <c r="I24" s="341"/>
      <c r="J24" s="341"/>
      <c r="K24" s="421"/>
      <c r="L24" s="421"/>
      <c r="M24" s="421"/>
      <c r="N24" s="421"/>
      <c r="O24" s="421"/>
      <c r="P24" s="421"/>
      <c r="Q24" s="414"/>
      <c r="R24" s="414"/>
      <c r="S24" s="421"/>
      <c r="T24" s="421"/>
      <c r="U24" s="421"/>
      <c r="V24" s="422"/>
    </row>
    <row r="25" spans="1:22" s="478" customFormat="1" x14ac:dyDescent="0.25">
      <c r="B25" s="478" t="s">
        <v>311</v>
      </c>
      <c r="G25" s="389"/>
      <c r="H25" s="389"/>
      <c r="I25" s="389"/>
      <c r="J25" s="341"/>
      <c r="K25" s="421"/>
      <c r="L25" s="421"/>
      <c r="M25" s="421"/>
      <c r="N25" s="421"/>
      <c r="O25" s="421"/>
      <c r="P25" s="421"/>
      <c r="Q25" s="414"/>
      <c r="R25" s="414"/>
      <c r="S25" s="421"/>
      <c r="T25" s="421"/>
      <c r="U25" s="421"/>
      <c r="V25" s="422"/>
    </row>
    <row r="26" spans="1:22" s="478" customFormat="1" x14ac:dyDescent="0.25">
      <c r="B26" s="478" t="s">
        <v>312</v>
      </c>
      <c r="G26" s="389"/>
      <c r="H26" s="389"/>
      <c r="I26" s="389"/>
      <c r="J26" s="341"/>
      <c r="K26" s="421"/>
      <c r="L26" s="421"/>
      <c r="M26" s="421"/>
      <c r="N26" s="421"/>
      <c r="O26" s="421"/>
      <c r="P26" s="421"/>
      <c r="Q26" s="414"/>
      <c r="R26" s="414"/>
      <c r="S26" s="421"/>
      <c r="T26" s="421"/>
      <c r="U26" s="421"/>
      <c r="V26" s="422"/>
    </row>
    <row r="27" spans="1:22" s="478" customFormat="1" x14ac:dyDescent="0.25">
      <c r="B27" s="478" t="s">
        <v>313</v>
      </c>
      <c r="G27" s="389"/>
      <c r="H27" s="389"/>
      <c r="I27" s="389"/>
      <c r="J27" s="341"/>
      <c r="K27" s="421"/>
      <c r="L27" s="421"/>
      <c r="M27" s="421"/>
      <c r="N27" s="421"/>
      <c r="O27" s="421"/>
      <c r="P27" s="421"/>
      <c r="Q27" s="414"/>
      <c r="R27" s="414"/>
      <c r="S27" s="421"/>
      <c r="T27" s="421"/>
      <c r="U27" s="421"/>
      <c r="V27" s="422"/>
    </row>
    <row r="28" spans="1:22" s="478" customFormat="1" x14ac:dyDescent="0.25">
      <c r="B28" s="517" t="s">
        <v>314</v>
      </c>
      <c r="G28" s="389"/>
      <c r="H28" s="389"/>
      <c r="I28" s="389"/>
      <c r="J28" s="341"/>
      <c r="K28" s="421"/>
      <c r="L28" s="421"/>
      <c r="M28" s="421"/>
      <c r="N28" s="421"/>
      <c r="O28" s="421"/>
      <c r="P28" s="421"/>
      <c r="Q28" s="414"/>
      <c r="R28" s="414"/>
      <c r="S28" s="421"/>
      <c r="T28" s="421"/>
      <c r="U28" s="421"/>
      <c r="V28" s="422"/>
    </row>
    <row r="29" spans="1:22" s="478" customFormat="1" x14ac:dyDescent="0.25">
      <c r="B29" s="517" t="s">
        <v>315</v>
      </c>
      <c r="G29" s="389"/>
      <c r="H29" s="389"/>
      <c r="I29" s="389"/>
      <c r="J29" s="341"/>
      <c r="K29" s="421"/>
      <c r="L29" s="421"/>
      <c r="M29" s="421"/>
      <c r="N29" s="421"/>
      <c r="O29" s="421"/>
      <c r="P29" s="421"/>
      <c r="Q29" s="414"/>
      <c r="R29" s="414"/>
      <c r="S29" s="421"/>
      <c r="T29" s="421"/>
      <c r="U29" s="421"/>
      <c r="V29" s="422"/>
    </row>
    <row r="30" spans="1:22" s="478" customFormat="1" x14ac:dyDescent="0.25">
      <c r="B30" s="517" t="s">
        <v>320</v>
      </c>
      <c r="G30" s="389"/>
      <c r="H30" s="389"/>
      <c r="I30" s="389"/>
      <c r="J30" s="341"/>
      <c r="K30" s="421"/>
      <c r="L30" s="421"/>
      <c r="M30" s="421"/>
      <c r="N30" s="421"/>
      <c r="O30" s="421"/>
      <c r="P30" s="421"/>
      <c r="Q30" s="414"/>
      <c r="R30" s="414"/>
      <c r="S30" s="421"/>
      <c r="T30" s="421"/>
      <c r="U30" s="421"/>
      <c r="V30" s="422"/>
    </row>
    <row r="31" spans="1:22" s="478" customFormat="1" x14ac:dyDescent="0.25">
      <c r="B31" s="517" t="s">
        <v>318</v>
      </c>
      <c r="G31" s="389"/>
      <c r="H31" s="389"/>
      <c r="I31" s="389"/>
      <c r="J31" s="341"/>
      <c r="K31" s="421"/>
      <c r="L31" s="421"/>
      <c r="M31" s="421"/>
      <c r="N31" s="421"/>
      <c r="O31" s="421"/>
      <c r="P31" s="421"/>
      <c r="Q31" s="414"/>
      <c r="R31" s="414"/>
      <c r="S31" s="421"/>
      <c r="T31" s="421"/>
      <c r="U31" s="421"/>
      <c r="V31" s="422"/>
    </row>
    <row r="32" spans="1:22" s="478" customFormat="1" x14ac:dyDescent="0.25">
      <c r="B32" s="517" t="s">
        <v>316</v>
      </c>
      <c r="G32" s="389"/>
      <c r="H32" s="389"/>
      <c r="I32" s="389"/>
      <c r="J32" s="519"/>
      <c r="K32" s="421"/>
      <c r="L32" s="421"/>
      <c r="M32" s="421"/>
      <c r="N32" s="421"/>
      <c r="O32" s="421"/>
      <c r="P32" s="421"/>
      <c r="Q32" s="414"/>
      <c r="R32" s="414"/>
      <c r="S32" s="421"/>
      <c r="T32" s="421"/>
      <c r="U32" s="421"/>
      <c r="V32" s="422"/>
    </row>
    <row r="33" spans="1:22" s="425" customFormat="1" x14ac:dyDescent="0.25">
      <c r="A33" s="478"/>
      <c r="B33" s="517"/>
      <c r="C33" s="478"/>
      <c r="D33" s="478"/>
      <c r="E33" s="478"/>
      <c r="F33" s="407"/>
      <c r="G33" s="96"/>
      <c r="H33" s="96"/>
      <c r="I33" s="96"/>
      <c r="J33" s="339"/>
      <c r="K33" s="421"/>
      <c r="L33" s="421"/>
      <c r="M33" s="421"/>
      <c r="N33" s="421"/>
      <c r="O33" s="421"/>
      <c r="P33" s="421"/>
      <c r="Q33" s="414"/>
      <c r="R33" s="414"/>
      <c r="S33" s="421"/>
      <c r="T33" s="421"/>
      <c r="U33" s="421"/>
      <c r="V33" s="422"/>
    </row>
    <row r="34" spans="1:22" s="8" customFormat="1" x14ac:dyDescent="0.25">
      <c r="A34" s="478"/>
      <c r="B34" s="288" t="s">
        <v>317</v>
      </c>
      <c r="C34" s="288"/>
      <c r="D34" s="288"/>
      <c r="E34" s="288"/>
      <c r="F34" s="518">
        <v>667000</v>
      </c>
      <c r="G34" s="518">
        <v>767200</v>
      </c>
      <c r="H34" s="518">
        <f>G34</f>
        <v>767200</v>
      </c>
      <c r="I34" s="518">
        <v>1534000</v>
      </c>
      <c r="J34" s="337"/>
      <c r="K34" s="421"/>
      <c r="L34" s="421"/>
      <c r="M34" s="421"/>
      <c r="N34" s="421"/>
      <c r="O34" s="421"/>
      <c r="P34" s="421"/>
      <c r="Q34" s="414"/>
      <c r="R34" s="420"/>
      <c r="S34" s="419"/>
      <c r="T34" s="421"/>
      <c r="U34" s="421"/>
      <c r="V34" s="422"/>
    </row>
    <row r="35" spans="1:22" x14ac:dyDescent="0.25">
      <c r="A35" s="363"/>
      <c r="B35" s="339"/>
      <c r="C35" s="339"/>
      <c r="D35" s="339"/>
      <c r="E35" s="339"/>
      <c r="F35" s="339"/>
      <c r="G35" s="339"/>
      <c r="H35" s="339"/>
      <c r="I35" s="339"/>
      <c r="J35" s="339"/>
      <c r="K35" s="360"/>
      <c r="L35" s="339"/>
      <c r="M35" s="339"/>
      <c r="N35" s="339"/>
      <c r="O35" s="339"/>
      <c r="P35" s="339"/>
      <c r="Q35" s="339"/>
      <c r="R35" s="339"/>
      <c r="S35" s="339"/>
      <c r="T35" s="339"/>
      <c r="U35" s="339"/>
      <c r="V35" s="363"/>
    </row>
    <row r="36" spans="1:22" s="318" customFormat="1" x14ac:dyDescent="0.25">
      <c r="A36" s="363"/>
      <c r="B36" s="339"/>
      <c r="C36" s="339"/>
      <c r="D36" s="339"/>
      <c r="E36" s="339"/>
      <c r="F36" s="478"/>
      <c r="G36" s="96" t="s">
        <v>259</v>
      </c>
      <c r="H36" s="389" t="s">
        <v>65</v>
      </c>
      <c r="I36" s="389"/>
      <c r="J36" s="339"/>
      <c r="K36" s="360"/>
      <c r="L36" s="339"/>
      <c r="M36" s="339"/>
      <c r="N36" s="339"/>
      <c r="O36" s="339"/>
      <c r="P36" s="339"/>
      <c r="Q36" s="339"/>
      <c r="R36" s="339"/>
      <c r="S36" s="339"/>
      <c r="T36" s="339"/>
      <c r="U36" s="339"/>
      <c r="V36" s="363"/>
    </row>
    <row r="37" spans="1:22" s="317" customFormat="1" x14ac:dyDescent="0.25">
      <c r="A37" s="424" t="s">
        <v>74</v>
      </c>
      <c r="B37" s="332" t="s">
        <v>232</v>
      </c>
      <c r="C37" s="363"/>
      <c r="D37" s="363"/>
      <c r="E37" s="340"/>
      <c r="F37" s="515">
        <v>1</v>
      </c>
      <c r="G37" s="515">
        <v>10</v>
      </c>
      <c r="H37" s="515">
        <v>50</v>
      </c>
      <c r="I37" s="515">
        <v>100</v>
      </c>
      <c r="K37" s="421"/>
      <c r="L37" s="340"/>
      <c r="M37" s="363"/>
      <c r="N37" s="363"/>
      <c r="O37" s="363"/>
      <c r="P37" s="363"/>
      <c r="Q37" s="363"/>
      <c r="R37" s="363"/>
      <c r="S37" s="363"/>
      <c r="T37" s="363"/>
      <c r="U37" s="363"/>
      <c r="V37" s="363"/>
    </row>
    <row r="38" spans="1:22" s="478" customFormat="1" x14ac:dyDescent="0.25">
      <c r="A38" s="424"/>
      <c r="B38" s="332"/>
      <c r="C38" s="409"/>
      <c r="D38" s="409"/>
      <c r="E38" s="340"/>
      <c r="F38" s="329"/>
      <c r="G38" s="341"/>
      <c r="H38" s="341"/>
      <c r="I38" s="341"/>
      <c r="K38" s="421"/>
      <c r="L38" s="340"/>
      <c r="M38" s="409"/>
      <c r="N38" s="409"/>
      <c r="O38" s="409"/>
      <c r="P38" s="409"/>
      <c r="Q38" s="409"/>
      <c r="R38" s="409"/>
      <c r="S38" s="409"/>
      <c r="T38" s="409"/>
      <c r="U38" s="409"/>
      <c r="V38" s="409"/>
    </row>
    <row r="39" spans="1:22" s="478" customFormat="1" x14ac:dyDescent="0.25">
      <c r="A39" s="424"/>
      <c r="B39" s="409" t="s">
        <v>311</v>
      </c>
      <c r="C39" s="409"/>
      <c r="D39" s="409"/>
      <c r="E39" s="340"/>
      <c r="F39" s="329"/>
      <c r="G39" s="341"/>
      <c r="H39" s="341"/>
      <c r="I39" s="341"/>
      <c r="K39" s="421"/>
      <c r="L39" s="340"/>
      <c r="M39" s="409"/>
      <c r="N39" s="409"/>
      <c r="O39" s="409"/>
      <c r="P39" s="409"/>
      <c r="Q39" s="409"/>
      <c r="R39" s="409"/>
      <c r="S39" s="409"/>
      <c r="T39" s="409"/>
      <c r="U39" s="409"/>
      <c r="V39" s="409"/>
    </row>
    <row r="40" spans="1:22" s="478" customFormat="1" x14ac:dyDescent="0.25">
      <c r="A40" s="424"/>
      <c r="B40" s="409" t="s">
        <v>321</v>
      </c>
      <c r="C40" s="409"/>
      <c r="D40" s="409"/>
      <c r="E40" s="340"/>
      <c r="F40" s="329"/>
      <c r="G40" s="341"/>
      <c r="H40" s="341"/>
      <c r="I40" s="341"/>
      <c r="K40" s="421"/>
      <c r="L40" s="340"/>
      <c r="M40" s="409"/>
      <c r="N40" s="409"/>
      <c r="O40" s="409"/>
      <c r="P40" s="409"/>
      <c r="Q40" s="409"/>
      <c r="R40" s="409"/>
      <c r="S40" s="409"/>
      <c r="T40" s="409"/>
      <c r="U40" s="409"/>
      <c r="V40" s="409"/>
    </row>
    <row r="41" spans="1:22" s="478" customFormat="1" x14ac:dyDescent="0.25">
      <c r="A41" s="424"/>
      <c r="B41" s="332" t="s">
        <v>319</v>
      </c>
      <c r="C41" s="409"/>
      <c r="D41" s="409"/>
      <c r="E41" s="340"/>
      <c r="F41" s="329"/>
      <c r="G41" s="341"/>
      <c r="H41" s="341"/>
      <c r="I41" s="341"/>
      <c r="K41" s="421"/>
      <c r="L41" s="340"/>
      <c r="M41" s="409"/>
      <c r="N41" s="409"/>
      <c r="O41" s="409"/>
      <c r="P41" s="409"/>
      <c r="Q41" s="409"/>
      <c r="R41" s="409"/>
      <c r="S41" s="409"/>
      <c r="T41" s="409"/>
      <c r="U41" s="409"/>
      <c r="V41" s="409"/>
    </row>
    <row r="42" spans="1:22" s="478" customFormat="1" x14ac:dyDescent="0.25">
      <c r="A42" s="424"/>
      <c r="B42" s="409" t="s">
        <v>322</v>
      </c>
      <c r="C42" s="409"/>
      <c r="D42" s="409"/>
      <c r="E42" s="340"/>
      <c r="F42" s="329"/>
      <c r="G42" s="341"/>
      <c r="H42" s="341"/>
      <c r="I42" s="341"/>
      <c r="K42" s="421"/>
      <c r="L42" s="340"/>
      <c r="M42" s="409"/>
      <c r="N42" s="409"/>
      <c r="O42" s="409"/>
      <c r="P42" s="409"/>
      <c r="Q42" s="409"/>
      <c r="R42" s="409"/>
      <c r="S42" s="409"/>
      <c r="T42" s="409"/>
      <c r="U42" s="409"/>
      <c r="V42" s="409"/>
    </row>
    <row r="43" spans="1:22" s="478" customFormat="1" x14ac:dyDescent="0.25">
      <c r="A43" s="424"/>
      <c r="B43" s="332"/>
      <c r="C43" s="409"/>
      <c r="D43" s="409"/>
      <c r="E43" s="340"/>
      <c r="F43" s="521" t="s">
        <v>97</v>
      </c>
      <c r="G43" s="522"/>
      <c r="H43" s="522"/>
      <c r="I43" s="522" t="s">
        <v>87</v>
      </c>
      <c r="J43" s="503"/>
      <c r="K43" s="414"/>
      <c r="L43" s="523" t="s">
        <v>88</v>
      </c>
      <c r="M43" s="521"/>
      <c r="N43" s="521" t="s">
        <v>89</v>
      </c>
      <c r="O43" s="409"/>
      <c r="P43" s="409"/>
      <c r="Q43" s="409"/>
      <c r="R43" s="409"/>
      <c r="S43" s="409"/>
      <c r="T43" s="409"/>
      <c r="U43" s="409"/>
      <c r="V43" s="409"/>
    </row>
    <row r="44" spans="1:22" s="478" customFormat="1" x14ac:dyDescent="0.25">
      <c r="A44" s="424"/>
      <c r="B44" s="332"/>
      <c r="C44" s="409"/>
      <c r="D44" s="409"/>
      <c r="E44" s="520" t="s">
        <v>329</v>
      </c>
      <c r="F44" s="407" t="s">
        <v>328</v>
      </c>
      <c r="G44" s="329" t="s">
        <v>78</v>
      </c>
      <c r="H44" s="520" t="s">
        <v>329</v>
      </c>
      <c r="I44" s="407" t="s">
        <v>328</v>
      </c>
      <c r="J44" s="329" t="s">
        <v>78</v>
      </c>
      <c r="K44" s="520" t="s">
        <v>329</v>
      </c>
      <c r="L44" s="407" t="s">
        <v>328</v>
      </c>
      <c r="M44" s="329" t="s">
        <v>78</v>
      </c>
      <c r="N44" s="520" t="s">
        <v>329</v>
      </c>
      <c r="O44" s="407" t="s">
        <v>328</v>
      </c>
      <c r="P44" s="329" t="s">
        <v>78</v>
      </c>
      <c r="Q44" s="409"/>
      <c r="R44" s="409"/>
      <c r="S44" s="409"/>
      <c r="T44" s="409"/>
      <c r="U44" s="409"/>
      <c r="V44" s="409"/>
    </row>
    <row r="45" spans="1:22" s="478" customFormat="1" x14ac:dyDescent="0.25">
      <c r="A45" s="424"/>
      <c r="B45" s="409">
        <v>1</v>
      </c>
      <c r="C45" s="409" t="s">
        <v>349</v>
      </c>
      <c r="D45" s="409"/>
      <c r="E45" s="340">
        <v>45.83</v>
      </c>
      <c r="F45" s="401">
        <f>G45/E45</f>
        <v>58754.265764782896</v>
      </c>
      <c r="G45" s="516">
        <v>2692708</v>
      </c>
      <c r="H45" s="340">
        <v>45.83</v>
      </c>
      <c r="I45" s="401">
        <f>J45/H45</f>
        <v>58754.265764782896</v>
      </c>
      <c r="J45" s="516">
        <v>2692708</v>
      </c>
      <c r="K45" s="340">
        <v>45.83</v>
      </c>
      <c r="L45" s="401">
        <f>M45/K45</f>
        <v>58754.265764782896</v>
      </c>
      <c r="M45" s="516">
        <v>2692708</v>
      </c>
      <c r="N45" s="340">
        <v>45.83</v>
      </c>
      <c r="O45" s="401">
        <f>P45/N45</f>
        <v>58754.265764782896</v>
      </c>
      <c r="P45" s="516">
        <v>2692708</v>
      </c>
      <c r="Q45" s="409"/>
      <c r="R45" s="409"/>
      <c r="S45" s="409"/>
      <c r="T45" s="409"/>
      <c r="U45" s="409"/>
      <c r="V45" s="409"/>
    </row>
    <row r="46" spans="1:22" s="478" customFormat="1" x14ac:dyDescent="0.25">
      <c r="A46" s="424"/>
      <c r="B46" s="409">
        <v>2</v>
      </c>
      <c r="C46" s="409" t="s">
        <v>323</v>
      </c>
      <c r="D46" s="409"/>
      <c r="E46" s="340">
        <v>4</v>
      </c>
      <c r="G46" s="516">
        <v>422000</v>
      </c>
      <c r="H46" s="340">
        <v>4</v>
      </c>
      <c r="J46" s="516">
        <v>422000</v>
      </c>
      <c r="K46" s="340">
        <v>4</v>
      </c>
      <c r="M46" s="516">
        <v>422000</v>
      </c>
      <c r="N46" s="340">
        <v>4</v>
      </c>
      <c r="P46" s="516">
        <v>422000</v>
      </c>
      <c r="Q46" s="409"/>
      <c r="R46" s="409"/>
      <c r="S46" s="409"/>
      <c r="T46" s="409"/>
      <c r="U46" s="409"/>
      <c r="V46" s="409"/>
    </row>
    <row r="47" spans="1:22" s="478" customFormat="1" x14ac:dyDescent="0.25">
      <c r="A47" s="424"/>
      <c r="B47" s="409">
        <v>3</v>
      </c>
      <c r="C47" s="409" t="s">
        <v>324</v>
      </c>
      <c r="D47" s="409"/>
      <c r="E47" s="340"/>
      <c r="G47" s="516">
        <v>7350</v>
      </c>
      <c r="H47" s="341"/>
      <c r="I47" s="341"/>
      <c r="J47" s="401">
        <v>73500</v>
      </c>
      <c r="K47" s="340"/>
      <c r="M47" s="516">
        <f>J47*5</f>
        <v>367500</v>
      </c>
      <c r="N47" s="340"/>
      <c r="P47" s="516">
        <f>M47*2</f>
        <v>735000</v>
      </c>
      <c r="Q47" s="409"/>
      <c r="R47" s="409"/>
      <c r="S47" s="409"/>
      <c r="T47" s="409"/>
      <c r="U47" s="409"/>
      <c r="V47" s="409"/>
    </row>
    <row r="48" spans="1:22" s="478" customFormat="1" x14ac:dyDescent="0.25">
      <c r="A48" s="424"/>
      <c r="B48" s="409">
        <v>4</v>
      </c>
      <c r="C48" s="409" t="s">
        <v>325</v>
      </c>
      <c r="D48" s="409"/>
      <c r="E48" s="340">
        <v>0.37</v>
      </c>
      <c r="F48" s="401">
        <v>70485</v>
      </c>
      <c r="G48" s="516">
        <f>E48*F48</f>
        <v>26079.45</v>
      </c>
      <c r="H48" s="524">
        <v>3.666666666666667</v>
      </c>
      <c r="I48" s="401">
        <v>70485</v>
      </c>
      <c r="J48" s="401">
        <f>H48*I48</f>
        <v>258445.00000000003</v>
      </c>
      <c r="K48" s="526">
        <f>H48*5</f>
        <v>18.333333333333336</v>
      </c>
      <c r="L48" s="401">
        <v>70485</v>
      </c>
      <c r="M48" s="525">
        <f>K48*L48</f>
        <v>1292225.0000000002</v>
      </c>
      <c r="N48" s="527">
        <f>K48*2</f>
        <v>36.666666666666671</v>
      </c>
      <c r="O48" s="525">
        <v>70485</v>
      </c>
      <c r="P48" s="525">
        <f>N48*O48</f>
        <v>2584450.0000000005</v>
      </c>
      <c r="Q48" s="409"/>
      <c r="R48" s="409"/>
      <c r="S48" s="409"/>
      <c r="T48" s="409"/>
      <c r="U48" s="409"/>
      <c r="V48" s="409"/>
    </row>
    <row r="49" spans="1:22" s="478" customFormat="1" x14ac:dyDescent="0.25">
      <c r="A49" s="424"/>
      <c r="B49" s="409">
        <v>5</v>
      </c>
      <c r="C49" s="409" t="s">
        <v>326</v>
      </c>
      <c r="D49" s="409"/>
      <c r="E49" s="340">
        <v>0.24</v>
      </c>
      <c r="F49" s="401">
        <v>76610</v>
      </c>
      <c r="G49" s="516">
        <f t="shared" ref="G49:G50" si="3">E49*F49</f>
        <v>18386.399999999998</v>
      </c>
      <c r="H49" s="524">
        <v>2.4444444444444446</v>
      </c>
      <c r="I49" s="401">
        <v>76610</v>
      </c>
      <c r="J49" s="401">
        <f t="shared" ref="J49:J50" si="4">H49*I49</f>
        <v>187268.88888888891</v>
      </c>
      <c r="K49" s="526">
        <f t="shared" ref="K49:K50" si="5">H49*5</f>
        <v>12.222222222222223</v>
      </c>
      <c r="L49" s="401">
        <v>76610</v>
      </c>
      <c r="M49" s="525">
        <f t="shared" ref="M49:M50" si="6">K49*L49</f>
        <v>936344.4444444445</v>
      </c>
      <c r="N49" s="527">
        <f t="shared" ref="N49:N50" si="7">K49*2</f>
        <v>24.444444444444446</v>
      </c>
      <c r="O49" s="525">
        <v>76610</v>
      </c>
      <c r="P49" s="525">
        <f t="shared" ref="P49:P50" si="8">N49*O49</f>
        <v>1872688.888888889</v>
      </c>
      <c r="Q49" s="409"/>
      <c r="R49" s="409"/>
      <c r="S49" s="409"/>
      <c r="T49" s="409"/>
      <c r="U49" s="409"/>
      <c r="V49" s="409"/>
    </row>
    <row r="50" spans="1:22" s="478" customFormat="1" x14ac:dyDescent="0.25">
      <c r="A50" s="424"/>
      <c r="B50" s="409">
        <v>6</v>
      </c>
      <c r="C50" s="409" t="s">
        <v>327</v>
      </c>
      <c r="D50" s="409"/>
      <c r="E50" s="340">
        <v>0.37</v>
      </c>
      <c r="F50" s="401">
        <v>73810</v>
      </c>
      <c r="G50" s="516">
        <f t="shared" si="3"/>
        <v>27309.7</v>
      </c>
      <c r="H50" s="524">
        <v>3.666666666666667</v>
      </c>
      <c r="I50" s="401">
        <v>73810</v>
      </c>
      <c r="J50" s="401">
        <f t="shared" si="4"/>
        <v>270636.66666666669</v>
      </c>
      <c r="K50" s="526">
        <f t="shared" si="5"/>
        <v>18.333333333333336</v>
      </c>
      <c r="L50" s="401">
        <v>73810</v>
      </c>
      <c r="M50" s="525">
        <f t="shared" si="6"/>
        <v>1353183.3333333335</v>
      </c>
      <c r="N50" s="527">
        <f t="shared" si="7"/>
        <v>36.666666666666671</v>
      </c>
      <c r="O50" s="525">
        <v>73810</v>
      </c>
      <c r="P50" s="525">
        <f t="shared" si="8"/>
        <v>2706366.666666667</v>
      </c>
      <c r="Q50" s="409"/>
      <c r="R50" s="409"/>
      <c r="S50" s="409"/>
      <c r="T50" s="409"/>
      <c r="U50" s="409"/>
      <c r="V50" s="409"/>
    </row>
    <row r="51" spans="1:22" s="478" customFormat="1" x14ac:dyDescent="0.25">
      <c r="A51" s="424"/>
      <c r="B51" s="332"/>
      <c r="C51" s="409"/>
      <c r="D51" s="409"/>
      <c r="E51" s="340"/>
      <c r="F51" s="329"/>
      <c r="G51" s="341"/>
      <c r="H51" s="341"/>
      <c r="I51" s="341"/>
      <c r="K51" s="421"/>
      <c r="L51" s="340"/>
      <c r="M51" s="409"/>
      <c r="N51" s="409"/>
      <c r="O51" s="409"/>
      <c r="P51" s="409"/>
      <c r="Q51" s="409"/>
      <c r="R51" s="409"/>
      <c r="S51" s="409"/>
      <c r="T51" s="409"/>
      <c r="U51" s="409"/>
      <c r="V51" s="409"/>
    </row>
    <row r="52" spans="1:22" s="478" customFormat="1" x14ac:dyDescent="0.25">
      <c r="A52" s="424"/>
      <c r="B52" s="321" t="s">
        <v>80</v>
      </c>
      <c r="C52" s="321"/>
      <c r="D52" s="321"/>
      <c r="E52" s="528">
        <f>SUM(E45:E50)</f>
        <v>50.809999999999995</v>
      </c>
      <c r="F52" s="528"/>
      <c r="G52" s="529">
        <f t="shared" ref="G52:P52" si="9">SUM(G45:G50)</f>
        <v>3193833.5500000003</v>
      </c>
      <c r="H52" s="529">
        <f t="shared" si="9"/>
        <v>59.60777777777777</v>
      </c>
      <c r="I52" s="529"/>
      <c r="J52" s="529">
        <f t="shared" si="9"/>
        <v>3904558.5555555555</v>
      </c>
      <c r="K52" s="530">
        <f t="shared" si="9"/>
        <v>98.718888888888898</v>
      </c>
      <c r="L52" s="529"/>
      <c r="M52" s="529">
        <f t="shared" si="9"/>
        <v>7063960.777777778</v>
      </c>
      <c r="N52" s="530">
        <f t="shared" si="9"/>
        <v>147.60777777777778</v>
      </c>
      <c r="O52" s="529"/>
      <c r="P52" s="529">
        <f t="shared" si="9"/>
        <v>11013213.555555556</v>
      </c>
      <c r="Q52" s="409"/>
      <c r="R52" s="409"/>
      <c r="S52" s="409"/>
      <c r="T52" s="409"/>
      <c r="U52" s="409"/>
      <c r="V52" s="409"/>
    </row>
    <row r="53" spans="1:22" s="478" customFormat="1" x14ac:dyDescent="0.25">
      <c r="A53" s="424"/>
      <c r="B53" s="332"/>
      <c r="C53" s="409"/>
      <c r="D53" s="409"/>
      <c r="E53" s="340"/>
      <c r="F53" s="329"/>
      <c r="G53" s="341"/>
      <c r="H53" s="341"/>
      <c r="I53" s="341"/>
      <c r="K53" s="421"/>
      <c r="L53" s="340"/>
      <c r="M53" s="409"/>
      <c r="N53" s="409"/>
      <c r="O53" s="409"/>
      <c r="P53" s="409"/>
      <c r="Q53" s="409"/>
      <c r="R53" s="409"/>
      <c r="S53" s="409"/>
      <c r="T53" s="409"/>
      <c r="U53" s="409"/>
      <c r="V53" s="409"/>
    </row>
    <row r="54" spans="1:22" x14ac:dyDescent="0.25">
      <c r="A54" s="363"/>
      <c r="B54" s="363"/>
      <c r="C54" s="339"/>
      <c r="D54" s="339"/>
      <c r="E54" s="422"/>
      <c r="F54" s="422"/>
      <c r="G54" s="422"/>
      <c r="H54" s="422"/>
      <c r="I54" s="422"/>
      <c r="J54" s="422"/>
      <c r="K54" s="422"/>
      <c r="L54" s="411"/>
      <c r="M54" s="337"/>
      <c r="N54" s="337"/>
      <c r="O54" s="337"/>
      <c r="P54" s="337"/>
      <c r="Q54" s="337"/>
      <c r="R54" s="337"/>
      <c r="S54" s="337"/>
      <c r="T54" s="337"/>
      <c r="U54" s="337"/>
      <c r="V54" s="363"/>
    </row>
    <row r="55" spans="1:22" s="8" customFormat="1" x14ac:dyDescent="0.25">
      <c r="A55" s="363"/>
      <c r="B55" s="363"/>
      <c r="C55" s="363"/>
      <c r="D55" s="363"/>
      <c r="E55" s="340"/>
      <c r="J55" s="340"/>
      <c r="K55" s="340"/>
      <c r="L55" s="320"/>
      <c r="M55" s="363"/>
      <c r="N55" s="363"/>
      <c r="O55" s="363"/>
      <c r="P55" s="363"/>
      <c r="Q55" s="363"/>
      <c r="R55" s="363"/>
      <c r="S55" s="363"/>
      <c r="T55" s="363"/>
      <c r="U55" s="363"/>
      <c r="V55" s="363"/>
    </row>
    <row r="56" spans="1:22" x14ac:dyDescent="0.25">
      <c r="A56" s="424" t="s">
        <v>75</v>
      </c>
      <c r="B56" s="332" t="s">
        <v>231</v>
      </c>
      <c r="C56" s="363"/>
      <c r="D56" s="363"/>
      <c r="E56" s="340"/>
      <c r="K56" s="340"/>
      <c r="L56" s="340"/>
      <c r="M56" s="363"/>
      <c r="N56" s="363"/>
      <c r="O56" s="363"/>
      <c r="P56" s="363"/>
      <c r="Q56" s="363"/>
      <c r="R56" s="363"/>
      <c r="S56" s="363"/>
      <c r="T56" s="363"/>
      <c r="U56" s="322"/>
      <c r="V56" s="363"/>
    </row>
    <row r="57" spans="1:22" s="478" customFormat="1" x14ac:dyDescent="0.25">
      <c r="A57" s="424"/>
      <c r="B57" s="332"/>
      <c r="C57" s="409"/>
      <c r="D57" s="409"/>
      <c r="E57" s="340"/>
      <c r="F57" s="329"/>
      <c r="G57" s="341"/>
      <c r="H57" s="341"/>
      <c r="I57" s="341"/>
      <c r="K57" s="340"/>
      <c r="L57" s="340"/>
      <c r="M57" s="409"/>
      <c r="N57" s="409"/>
      <c r="O57" s="409"/>
      <c r="P57" s="409"/>
      <c r="Q57" s="409"/>
      <c r="R57" s="409"/>
      <c r="S57" s="409"/>
      <c r="T57" s="409"/>
      <c r="U57" s="322"/>
      <c r="V57" s="409"/>
    </row>
    <row r="58" spans="1:22" s="478" customFormat="1" x14ac:dyDescent="0.25">
      <c r="A58" s="424"/>
      <c r="B58" s="409" t="s">
        <v>311</v>
      </c>
      <c r="C58" s="409"/>
      <c r="D58" s="409"/>
      <c r="E58" s="340"/>
      <c r="F58" s="329"/>
      <c r="G58" s="341"/>
      <c r="H58" s="341"/>
      <c r="I58" s="341"/>
      <c r="K58" s="340"/>
      <c r="L58" s="340"/>
      <c r="M58" s="409"/>
      <c r="N58" s="409"/>
      <c r="O58" s="409"/>
      <c r="P58" s="409"/>
      <c r="Q58" s="409"/>
      <c r="R58" s="409"/>
      <c r="S58" s="409"/>
      <c r="T58" s="409"/>
      <c r="U58" s="322"/>
      <c r="V58" s="409"/>
    </row>
    <row r="59" spans="1:22" s="478" customFormat="1" x14ac:dyDescent="0.25">
      <c r="A59" s="424"/>
      <c r="B59" s="409" t="s">
        <v>330</v>
      </c>
      <c r="C59" s="409"/>
      <c r="D59" s="409"/>
      <c r="E59" s="340"/>
      <c r="F59" s="329"/>
      <c r="G59" s="341"/>
      <c r="H59" s="341"/>
      <c r="I59" s="341"/>
      <c r="K59" s="340"/>
      <c r="L59" s="340"/>
      <c r="M59" s="409"/>
      <c r="N59" s="409"/>
      <c r="O59" s="409"/>
      <c r="P59" s="409"/>
      <c r="Q59" s="409"/>
      <c r="R59" s="409"/>
      <c r="S59" s="409"/>
      <c r="T59" s="409"/>
      <c r="U59" s="322"/>
      <c r="V59" s="409"/>
    </row>
    <row r="60" spans="1:22" s="478" customFormat="1" x14ac:dyDescent="0.25">
      <c r="A60" s="424"/>
      <c r="B60" s="409" t="s">
        <v>331</v>
      </c>
      <c r="C60" s="409"/>
      <c r="D60" s="409"/>
      <c r="E60" s="340"/>
      <c r="F60" s="329"/>
      <c r="G60" s="341"/>
      <c r="H60" s="341"/>
      <c r="I60" s="341"/>
      <c r="K60" s="340"/>
      <c r="L60" s="340"/>
      <c r="M60" s="409"/>
      <c r="N60" s="409"/>
      <c r="O60" s="409"/>
      <c r="P60" s="409"/>
      <c r="Q60" s="409"/>
      <c r="R60" s="409"/>
      <c r="S60" s="409"/>
      <c r="T60" s="409"/>
      <c r="U60" s="322"/>
      <c r="V60" s="409"/>
    </row>
    <row r="61" spans="1:22" s="478" customFormat="1" x14ac:dyDescent="0.25">
      <c r="A61" s="424"/>
      <c r="B61" s="409" t="s">
        <v>332</v>
      </c>
      <c r="C61" s="409"/>
      <c r="D61" s="409"/>
      <c r="E61" s="340"/>
      <c r="F61" s="329"/>
      <c r="G61" s="341"/>
      <c r="H61" s="341"/>
      <c r="I61" s="341"/>
      <c r="K61" s="340"/>
      <c r="L61" s="340"/>
      <c r="M61" s="409"/>
      <c r="N61" s="409"/>
      <c r="O61" s="409"/>
      <c r="P61" s="409"/>
      <c r="Q61" s="409"/>
      <c r="R61" s="409"/>
      <c r="S61" s="409"/>
      <c r="T61" s="409"/>
      <c r="U61" s="322"/>
      <c r="V61" s="409"/>
    </row>
    <row r="62" spans="1:22" s="478" customFormat="1" x14ac:dyDescent="0.25">
      <c r="A62" s="424"/>
      <c r="B62" s="409"/>
      <c r="C62" s="409"/>
      <c r="D62" s="409"/>
      <c r="E62" s="340"/>
      <c r="F62" s="329"/>
      <c r="G62" s="341"/>
      <c r="H62" s="341"/>
      <c r="I62" s="341"/>
      <c r="K62" s="340"/>
      <c r="L62" s="340"/>
      <c r="M62" s="409"/>
      <c r="N62" s="409"/>
      <c r="O62" s="409"/>
      <c r="P62" s="409"/>
      <c r="Q62" s="409"/>
      <c r="R62" s="409"/>
      <c r="S62" s="409"/>
      <c r="T62" s="409"/>
      <c r="U62" s="322"/>
      <c r="V62" s="409"/>
    </row>
    <row r="63" spans="1:22" s="478" customFormat="1" x14ac:dyDescent="0.25">
      <c r="A63" s="424"/>
      <c r="B63" s="409" t="s">
        <v>333</v>
      </c>
      <c r="C63" s="409"/>
      <c r="D63" s="409"/>
      <c r="E63" s="340"/>
      <c r="F63" s="329"/>
      <c r="G63" s="341"/>
      <c r="H63" s="341"/>
      <c r="I63" s="341"/>
      <c r="K63" s="340"/>
      <c r="L63" s="340"/>
      <c r="M63" s="409"/>
      <c r="N63" s="409"/>
      <c r="O63" s="409"/>
      <c r="P63" s="409"/>
      <c r="Q63" s="409"/>
      <c r="R63" s="409"/>
      <c r="S63" s="409"/>
      <c r="T63" s="409"/>
      <c r="U63" s="322"/>
      <c r="V63" s="409"/>
    </row>
    <row r="64" spans="1:22" s="478" customFormat="1" x14ac:dyDescent="0.25">
      <c r="A64" s="424"/>
      <c r="B64" s="409"/>
      <c r="C64" s="409" t="s">
        <v>334</v>
      </c>
      <c r="D64" s="525">
        <v>66350</v>
      </c>
      <c r="E64" s="340"/>
      <c r="F64" s="329"/>
      <c r="G64" s="341"/>
      <c r="H64" s="341"/>
      <c r="I64" s="341"/>
      <c r="K64" s="340"/>
      <c r="L64" s="340"/>
      <c r="M64" s="409"/>
      <c r="N64" s="409"/>
      <c r="O64" s="409"/>
      <c r="P64" s="409"/>
      <c r="Q64" s="409"/>
      <c r="R64" s="409"/>
      <c r="S64" s="409"/>
      <c r="T64" s="409"/>
      <c r="U64" s="322"/>
      <c r="V64" s="409"/>
    </row>
    <row r="65" spans="1:22" s="478" customFormat="1" x14ac:dyDescent="0.25">
      <c r="A65" s="424"/>
      <c r="B65" s="409"/>
      <c r="C65" s="409" t="s">
        <v>335</v>
      </c>
      <c r="D65" s="525">
        <v>75625</v>
      </c>
      <c r="E65" s="340"/>
      <c r="F65" s="329"/>
      <c r="G65" s="341"/>
      <c r="H65" s="341"/>
      <c r="I65" s="341"/>
      <c r="K65" s="340"/>
      <c r="L65" s="340"/>
      <c r="M65" s="409"/>
      <c r="N65" s="409"/>
      <c r="O65" s="409"/>
      <c r="P65" s="409"/>
      <c r="Q65" s="409"/>
      <c r="R65" s="409"/>
      <c r="S65" s="409"/>
      <c r="T65" s="409"/>
      <c r="U65" s="322"/>
      <c r="V65" s="409"/>
    </row>
    <row r="66" spans="1:22" s="478" customFormat="1" x14ac:dyDescent="0.25">
      <c r="A66" s="424"/>
      <c r="B66" s="409"/>
      <c r="C66" s="409" t="s">
        <v>336</v>
      </c>
      <c r="D66" s="525">
        <v>101275</v>
      </c>
      <c r="E66" s="340"/>
      <c r="F66" s="329"/>
      <c r="G66" s="341"/>
      <c r="H66" s="341"/>
      <c r="I66" s="341"/>
      <c r="K66" s="340"/>
      <c r="L66" s="340"/>
      <c r="M66" s="409"/>
      <c r="N66" s="409"/>
      <c r="O66" s="409"/>
      <c r="P66" s="409"/>
      <c r="Q66" s="409"/>
      <c r="R66" s="409"/>
      <c r="S66" s="409"/>
      <c r="T66" s="409"/>
      <c r="U66" s="322"/>
      <c r="V66" s="409"/>
    </row>
    <row r="67" spans="1:22" s="478" customFormat="1" x14ac:dyDescent="0.25">
      <c r="A67" s="424"/>
      <c r="B67" s="409"/>
      <c r="C67" s="409" t="s">
        <v>338</v>
      </c>
      <c r="D67" s="525">
        <v>101075</v>
      </c>
      <c r="E67" s="340"/>
      <c r="F67" s="329"/>
      <c r="G67" s="341"/>
      <c r="H67" s="341"/>
      <c r="I67" s="341"/>
      <c r="K67" s="340"/>
      <c r="L67" s="340"/>
      <c r="M67" s="409"/>
      <c r="N67" s="409"/>
      <c r="O67" s="409"/>
      <c r="P67" s="409"/>
      <c r="Q67" s="409"/>
      <c r="R67" s="409"/>
      <c r="S67" s="409"/>
      <c r="T67" s="409"/>
      <c r="U67" s="322"/>
      <c r="V67" s="409"/>
    </row>
    <row r="68" spans="1:22" s="478" customFormat="1" x14ac:dyDescent="0.25">
      <c r="A68" s="424"/>
      <c r="B68" s="409"/>
      <c r="C68" s="409" t="s">
        <v>337</v>
      </c>
      <c r="D68" s="525">
        <v>87855</v>
      </c>
      <c r="E68" s="340"/>
      <c r="F68" s="521" t="s">
        <v>97</v>
      </c>
      <c r="G68" s="522"/>
      <c r="H68" s="340"/>
      <c r="I68" s="521" t="s">
        <v>346</v>
      </c>
      <c r="J68" s="522"/>
      <c r="K68" s="340"/>
      <c r="L68" s="521" t="s">
        <v>347</v>
      </c>
      <c r="M68" s="522"/>
      <c r="N68" s="340"/>
      <c r="O68" s="521" t="s">
        <v>348</v>
      </c>
      <c r="P68" s="522"/>
      <c r="Q68" s="409"/>
      <c r="R68" s="409"/>
      <c r="S68" s="409"/>
      <c r="T68" s="409"/>
      <c r="U68" s="322"/>
      <c r="V68" s="409"/>
    </row>
    <row r="69" spans="1:22" s="478" customFormat="1" x14ac:dyDescent="0.25">
      <c r="A69" s="424"/>
      <c r="B69" s="409"/>
      <c r="C69" s="409"/>
      <c r="D69" s="409"/>
      <c r="E69" s="520" t="s">
        <v>329</v>
      </c>
      <c r="F69" s="407" t="s">
        <v>328</v>
      </c>
      <c r="G69" s="329" t="s">
        <v>78</v>
      </c>
      <c r="H69" s="520" t="s">
        <v>329</v>
      </c>
      <c r="I69" s="407" t="s">
        <v>328</v>
      </c>
      <c r="J69" s="329" t="s">
        <v>78</v>
      </c>
      <c r="K69" s="520" t="s">
        <v>329</v>
      </c>
      <c r="L69" s="407" t="s">
        <v>328</v>
      </c>
      <c r="M69" s="329" t="s">
        <v>78</v>
      </c>
      <c r="N69" s="520" t="s">
        <v>329</v>
      </c>
      <c r="O69" s="407" t="s">
        <v>328</v>
      </c>
      <c r="P69" s="329" t="s">
        <v>78</v>
      </c>
      <c r="Q69" s="409"/>
      <c r="R69" s="409"/>
      <c r="S69" s="409"/>
      <c r="T69" s="409"/>
      <c r="U69" s="322"/>
      <c r="V69" s="409"/>
    </row>
    <row r="70" spans="1:22" s="478" customFormat="1" x14ac:dyDescent="0.25">
      <c r="A70" s="424"/>
      <c r="B70" s="409" t="s">
        <v>339</v>
      </c>
      <c r="C70" s="409"/>
      <c r="D70" s="409"/>
      <c r="E70" s="515"/>
      <c r="F70" s="515"/>
      <c r="G70" s="515"/>
      <c r="H70" s="515"/>
      <c r="I70" s="341"/>
      <c r="K70" s="340"/>
      <c r="L70" s="340"/>
      <c r="M70" s="409"/>
      <c r="N70" s="409"/>
      <c r="O70" s="409"/>
      <c r="P70" s="409"/>
      <c r="Q70" s="409"/>
      <c r="R70" s="409"/>
      <c r="S70" s="409"/>
      <c r="T70" s="409"/>
      <c r="U70" s="322"/>
      <c r="V70" s="409"/>
    </row>
    <row r="71" spans="1:22" s="478" customFormat="1" x14ac:dyDescent="0.25">
      <c r="A71" s="424"/>
      <c r="B71" s="409"/>
      <c r="C71" s="409" t="s">
        <v>340</v>
      </c>
      <c r="D71" s="409"/>
      <c r="E71" s="340">
        <v>11</v>
      </c>
      <c r="F71" s="516">
        <v>66350</v>
      </c>
      <c r="G71" s="516">
        <f>E71*F71</f>
        <v>729850</v>
      </c>
      <c r="H71" s="340">
        <v>11</v>
      </c>
      <c r="I71" s="516">
        <f>D64</f>
        <v>66350</v>
      </c>
      <c r="J71" s="516">
        <f>H71*I71</f>
        <v>729850</v>
      </c>
      <c r="K71" s="340">
        <v>11</v>
      </c>
      <c r="L71" s="516">
        <v>66350</v>
      </c>
      <c r="M71" s="516">
        <f>K71*L71</f>
        <v>729850</v>
      </c>
      <c r="N71" s="340">
        <v>11</v>
      </c>
      <c r="O71" s="516">
        <v>66350</v>
      </c>
      <c r="P71" s="516">
        <f>N71*O71</f>
        <v>729850</v>
      </c>
      <c r="Q71" s="409"/>
      <c r="R71" s="409"/>
      <c r="S71" s="409"/>
      <c r="T71" s="409"/>
      <c r="U71" s="322"/>
      <c r="V71" s="409"/>
    </row>
    <row r="72" spans="1:22" s="478" customFormat="1" x14ac:dyDescent="0.25">
      <c r="A72" s="424"/>
      <c r="B72" s="409"/>
      <c r="C72" s="409" t="s">
        <v>341</v>
      </c>
      <c r="D72" s="409"/>
      <c r="E72" s="340">
        <v>0.71</v>
      </c>
      <c r="F72" s="516">
        <v>75625</v>
      </c>
      <c r="G72" s="516">
        <f t="shared" ref="G72:G75" si="10">E72*F72</f>
        <v>53693.75</v>
      </c>
      <c r="H72" s="340">
        <v>3.4</v>
      </c>
      <c r="I72" s="516">
        <f>D65</f>
        <v>75625</v>
      </c>
      <c r="J72" s="516">
        <f t="shared" ref="J72:J77" si="11">H72*I72</f>
        <v>257125</v>
      </c>
      <c r="K72" s="340">
        <v>3.4</v>
      </c>
      <c r="L72" s="516">
        <v>75625</v>
      </c>
      <c r="M72" s="516">
        <f t="shared" ref="M72:M75" si="12">K72*L72</f>
        <v>257125</v>
      </c>
      <c r="N72" s="340">
        <v>3.4</v>
      </c>
      <c r="O72" s="516">
        <v>75625</v>
      </c>
      <c r="P72" s="516">
        <f t="shared" ref="P72:P75" si="13">N72*O72</f>
        <v>257125</v>
      </c>
      <c r="Q72" s="409"/>
      <c r="R72" s="409"/>
      <c r="S72" s="409"/>
      <c r="T72" s="409"/>
      <c r="U72" s="322"/>
      <c r="V72" s="409"/>
    </row>
    <row r="73" spans="1:22" s="478" customFormat="1" x14ac:dyDescent="0.25">
      <c r="A73" s="424"/>
      <c r="B73" s="409"/>
      <c r="C73" s="409" t="s">
        <v>342</v>
      </c>
      <c r="D73" s="409"/>
      <c r="E73" s="340">
        <v>2</v>
      </c>
      <c r="F73" s="516">
        <v>101275</v>
      </c>
      <c r="G73" s="516">
        <f t="shared" si="10"/>
        <v>202550</v>
      </c>
      <c r="H73" s="340">
        <v>2</v>
      </c>
      <c r="I73" s="516">
        <f>D66</f>
        <v>101275</v>
      </c>
      <c r="J73" s="516">
        <f t="shared" si="11"/>
        <v>202550</v>
      </c>
      <c r="K73" s="340">
        <v>2</v>
      </c>
      <c r="L73" s="516">
        <v>101275</v>
      </c>
      <c r="M73" s="516">
        <f t="shared" si="12"/>
        <v>202550</v>
      </c>
      <c r="N73" s="340">
        <v>2</v>
      </c>
      <c r="O73" s="516">
        <v>101275</v>
      </c>
      <c r="P73" s="516">
        <f t="shared" si="13"/>
        <v>202550</v>
      </c>
      <c r="Q73" s="409"/>
      <c r="R73" s="409"/>
      <c r="S73" s="409"/>
      <c r="T73" s="409"/>
      <c r="U73" s="322"/>
      <c r="V73" s="409"/>
    </row>
    <row r="74" spans="1:22" s="478" customFormat="1" x14ac:dyDescent="0.25">
      <c r="A74" s="424"/>
      <c r="B74" s="409"/>
      <c r="C74" s="409" t="s">
        <v>343</v>
      </c>
      <c r="D74" s="409"/>
      <c r="E74" s="340">
        <v>0.55000000000000004</v>
      </c>
      <c r="F74" s="516">
        <v>101075</v>
      </c>
      <c r="G74" s="516">
        <f t="shared" si="10"/>
        <v>55591.250000000007</v>
      </c>
      <c r="H74" s="340">
        <v>5.5</v>
      </c>
      <c r="I74" s="516">
        <f>D67</f>
        <v>101075</v>
      </c>
      <c r="J74" s="516">
        <f t="shared" si="11"/>
        <v>555912.5</v>
      </c>
      <c r="K74" s="340">
        <f>H74*5</f>
        <v>27.5</v>
      </c>
      <c r="L74" s="516">
        <v>101075</v>
      </c>
      <c r="M74" s="516">
        <f t="shared" si="12"/>
        <v>2779562.5</v>
      </c>
      <c r="N74" s="340">
        <f>K74*2</f>
        <v>55</v>
      </c>
      <c r="O74" s="516">
        <v>101075</v>
      </c>
      <c r="P74" s="516">
        <f t="shared" si="13"/>
        <v>5559125</v>
      </c>
      <c r="Q74" s="409"/>
      <c r="R74" s="409"/>
      <c r="S74" s="409"/>
      <c r="T74" s="409"/>
      <c r="U74" s="322"/>
      <c r="V74" s="409"/>
    </row>
    <row r="75" spans="1:22" s="478" customFormat="1" x14ac:dyDescent="0.25">
      <c r="A75" s="424"/>
      <c r="B75" s="409"/>
      <c r="C75" s="409" t="s">
        <v>344</v>
      </c>
      <c r="D75" s="409"/>
      <c r="E75" s="340">
        <v>3.1</v>
      </c>
      <c r="F75" s="516">
        <v>101075</v>
      </c>
      <c r="G75" s="516">
        <f t="shared" si="10"/>
        <v>313332.5</v>
      </c>
      <c r="H75" s="340">
        <v>3.1</v>
      </c>
      <c r="I75" s="516">
        <f>D67</f>
        <v>101075</v>
      </c>
      <c r="J75" s="516">
        <f t="shared" si="11"/>
        <v>313332.5</v>
      </c>
      <c r="K75" s="340">
        <v>3.1</v>
      </c>
      <c r="L75" s="516">
        <v>101075</v>
      </c>
      <c r="M75" s="516">
        <f t="shared" si="12"/>
        <v>313332.5</v>
      </c>
      <c r="N75" s="340">
        <f>K75</f>
        <v>3.1</v>
      </c>
      <c r="O75" s="516">
        <v>101075</v>
      </c>
      <c r="P75" s="516">
        <f t="shared" si="13"/>
        <v>313332.5</v>
      </c>
      <c r="Q75" s="409"/>
      <c r="R75" s="409"/>
      <c r="S75" s="409"/>
      <c r="T75" s="409"/>
      <c r="U75" s="322"/>
      <c r="V75" s="409"/>
    </row>
    <row r="76" spans="1:22" s="478" customFormat="1" x14ac:dyDescent="0.25">
      <c r="A76" s="424"/>
      <c r="B76" s="409"/>
      <c r="C76" s="409" t="s">
        <v>345</v>
      </c>
      <c r="D76" s="409"/>
      <c r="E76" s="340"/>
      <c r="F76" s="516"/>
      <c r="G76" s="516"/>
      <c r="H76" s="340"/>
      <c r="I76" s="516"/>
      <c r="J76" s="516"/>
      <c r="K76" s="340"/>
      <c r="L76" s="516"/>
      <c r="M76" s="516"/>
      <c r="N76" s="340"/>
      <c r="O76" s="516"/>
      <c r="P76" s="516"/>
      <c r="Q76" s="409"/>
      <c r="R76" s="409"/>
      <c r="S76" s="409"/>
      <c r="T76" s="409"/>
      <c r="U76" s="322"/>
      <c r="V76" s="409"/>
    </row>
    <row r="77" spans="1:22" s="478" customFormat="1" x14ac:dyDescent="0.25">
      <c r="A77" s="424"/>
      <c r="B77" s="409"/>
      <c r="C77" s="409" t="s">
        <v>142</v>
      </c>
      <c r="D77" s="319">
        <v>0.1</v>
      </c>
      <c r="E77" s="340">
        <f>SUM(E71:E76)*D77</f>
        <v>1.7360000000000004</v>
      </c>
      <c r="F77" s="516">
        <v>87855</v>
      </c>
      <c r="G77" s="516">
        <f t="shared" ref="G77" si="14">E77*F77</f>
        <v>152516.28000000003</v>
      </c>
      <c r="H77" s="340">
        <v>2.52</v>
      </c>
      <c r="I77" s="516">
        <f>D68</f>
        <v>87855</v>
      </c>
      <c r="J77" s="516">
        <f t="shared" si="11"/>
        <v>221394.6</v>
      </c>
      <c r="K77" s="340">
        <v>2.52</v>
      </c>
      <c r="L77" s="516">
        <v>87855</v>
      </c>
      <c r="M77" s="516">
        <f t="shared" ref="M77" si="15">K77*L77</f>
        <v>221394.6</v>
      </c>
      <c r="N77" s="340">
        <v>2.52</v>
      </c>
      <c r="O77" s="516">
        <v>87855</v>
      </c>
      <c r="P77" s="516">
        <f t="shared" ref="P77" si="16">N77*O77</f>
        <v>221394.6</v>
      </c>
      <c r="Q77" s="409"/>
      <c r="R77" s="409"/>
      <c r="S77" s="409"/>
      <c r="T77" s="409"/>
      <c r="U77" s="322"/>
      <c r="V77" s="409"/>
    </row>
    <row r="78" spans="1:22" s="478" customFormat="1" x14ac:dyDescent="0.25">
      <c r="A78" s="424"/>
      <c r="B78" s="409"/>
      <c r="C78" s="409"/>
      <c r="D78" s="409"/>
      <c r="E78" s="340"/>
      <c r="F78" s="329"/>
      <c r="G78" s="516"/>
      <c r="H78" s="340"/>
      <c r="I78" s="329"/>
      <c r="J78" s="516"/>
      <c r="K78" s="340"/>
      <c r="L78" s="329"/>
      <c r="M78" s="516"/>
      <c r="N78" s="409"/>
      <c r="O78" s="409"/>
      <c r="P78" s="409"/>
      <c r="Q78" s="409"/>
      <c r="R78" s="409"/>
      <c r="S78" s="409"/>
      <c r="T78" s="409"/>
      <c r="U78" s="322"/>
      <c r="V78" s="409"/>
    </row>
    <row r="79" spans="1:22" s="478" customFormat="1" x14ac:dyDescent="0.25">
      <c r="A79" s="424"/>
      <c r="B79" s="321" t="s">
        <v>80</v>
      </c>
      <c r="C79" s="321"/>
      <c r="D79" s="321"/>
      <c r="E79" s="531">
        <f>SUM(E71:E77)</f>
        <v>19.096000000000004</v>
      </c>
      <c r="F79" s="532"/>
      <c r="G79" s="533">
        <f>SUM(G71:G77)</f>
        <v>1507533.78</v>
      </c>
      <c r="H79" s="531">
        <f>SUM(H71:H77)</f>
        <v>27.52</v>
      </c>
      <c r="I79" s="532"/>
      <c r="J79" s="533">
        <f>SUM(J71:J77)</f>
        <v>2280164.6</v>
      </c>
      <c r="K79" s="531">
        <f>SUM(K71:K77)</f>
        <v>49.52</v>
      </c>
      <c r="L79" s="532"/>
      <c r="M79" s="533">
        <f>SUM(M71:M77)</f>
        <v>4503814.5999999996</v>
      </c>
      <c r="N79" s="534">
        <f t="shared" ref="N79:P79" si="17">SUM(N71:N77)</f>
        <v>77.02</v>
      </c>
      <c r="O79" s="533"/>
      <c r="P79" s="533">
        <f t="shared" si="17"/>
        <v>7283377.0999999996</v>
      </c>
      <c r="Q79" s="409"/>
      <c r="R79" s="409"/>
      <c r="S79" s="409"/>
      <c r="T79" s="409"/>
      <c r="U79" s="322"/>
      <c r="V79" s="409"/>
    </row>
    <row r="80" spans="1:22" s="478" customFormat="1" x14ac:dyDescent="0.25">
      <c r="A80" s="424"/>
      <c r="B80" s="409"/>
      <c r="C80" s="409"/>
      <c r="D80" s="409"/>
      <c r="E80" s="340"/>
      <c r="F80" s="329"/>
      <c r="G80" s="341"/>
      <c r="H80" s="341"/>
      <c r="I80" s="341"/>
      <c r="K80" s="340"/>
      <c r="L80" s="340"/>
      <c r="M80" s="409"/>
      <c r="N80" s="409"/>
      <c r="O80" s="409"/>
      <c r="P80" s="409"/>
      <c r="Q80" s="409"/>
      <c r="R80" s="409"/>
      <c r="S80" s="409"/>
      <c r="T80" s="409"/>
      <c r="U80" s="322"/>
      <c r="V80" s="409"/>
    </row>
    <row r="81" spans="1:22" x14ac:dyDescent="0.25">
      <c r="A81" s="363"/>
      <c r="B81" s="363"/>
      <c r="C81" s="363"/>
      <c r="D81" s="363"/>
      <c r="E81" s="363"/>
      <c r="F81" s="478"/>
      <c r="G81" s="96" t="s">
        <v>259</v>
      </c>
      <c r="H81" s="389" t="s">
        <v>65</v>
      </c>
      <c r="I81" s="389"/>
      <c r="K81" s="340"/>
      <c r="L81" s="363"/>
      <c r="M81" s="363"/>
      <c r="N81" s="363"/>
      <c r="O81" s="363"/>
      <c r="P81" s="363"/>
      <c r="Q81" s="363"/>
      <c r="R81" s="363"/>
      <c r="S81" s="363"/>
      <c r="T81" s="363"/>
      <c r="U81" s="363"/>
      <c r="V81" s="363"/>
    </row>
    <row r="82" spans="1:22" x14ac:dyDescent="0.25">
      <c r="A82" s="424" t="s">
        <v>76</v>
      </c>
      <c r="B82" s="332" t="s">
        <v>49</v>
      </c>
      <c r="C82" s="363"/>
      <c r="D82" s="363"/>
      <c r="E82" s="363"/>
      <c r="F82" s="515">
        <v>1</v>
      </c>
      <c r="G82" s="515">
        <v>10</v>
      </c>
      <c r="H82" s="515">
        <v>50</v>
      </c>
      <c r="I82" s="515">
        <v>100</v>
      </c>
      <c r="K82" s="340"/>
      <c r="L82" s="363"/>
      <c r="M82" s="363"/>
      <c r="N82" s="363"/>
      <c r="O82" s="363"/>
      <c r="P82" s="363"/>
      <c r="Q82" s="363"/>
      <c r="R82" s="363"/>
      <c r="S82" s="363"/>
      <c r="T82" s="363"/>
      <c r="U82" s="363"/>
      <c r="V82" s="363"/>
    </row>
    <row r="83" spans="1:22" s="478" customFormat="1" x14ac:dyDescent="0.25">
      <c r="A83" s="424"/>
      <c r="B83" s="332"/>
      <c r="C83" s="409"/>
      <c r="D83" s="409"/>
      <c r="E83" s="409"/>
      <c r="F83" s="515"/>
      <c r="G83" s="515"/>
      <c r="H83" s="515"/>
      <c r="I83" s="515"/>
      <c r="K83" s="340"/>
      <c r="L83" s="409"/>
      <c r="M83" s="409"/>
      <c r="N83" s="409"/>
      <c r="O83" s="409"/>
      <c r="P83" s="409"/>
      <c r="Q83" s="409"/>
      <c r="R83" s="409"/>
      <c r="S83" s="409"/>
      <c r="T83" s="409"/>
      <c r="U83" s="409"/>
      <c r="V83" s="409"/>
    </row>
    <row r="84" spans="1:22" s="478" customFormat="1" x14ac:dyDescent="0.25">
      <c r="A84" s="424"/>
      <c r="B84" s="409" t="s">
        <v>311</v>
      </c>
      <c r="C84" s="409"/>
      <c r="D84" s="409"/>
      <c r="E84" s="409"/>
      <c r="F84" s="515"/>
      <c r="G84" s="515"/>
      <c r="H84" s="515"/>
      <c r="I84" s="515"/>
      <c r="K84" s="340"/>
      <c r="L84" s="409"/>
      <c r="M84" s="409"/>
      <c r="N84" s="409"/>
      <c r="O84" s="409"/>
      <c r="P84" s="409"/>
      <c r="Q84" s="409"/>
      <c r="R84" s="409"/>
      <c r="S84" s="409"/>
      <c r="T84" s="409"/>
      <c r="U84" s="409"/>
      <c r="V84" s="409"/>
    </row>
    <row r="85" spans="1:22" s="478" customFormat="1" x14ac:dyDescent="0.25">
      <c r="A85" s="424"/>
      <c r="B85" s="409" t="s">
        <v>350</v>
      </c>
      <c r="C85" s="409"/>
      <c r="D85" s="409"/>
      <c r="E85" s="409"/>
      <c r="F85" s="515"/>
      <c r="G85" s="515"/>
      <c r="H85" s="515"/>
      <c r="I85" s="515"/>
      <c r="K85" s="340"/>
      <c r="L85" s="409"/>
      <c r="M85" s="409"/>
      <c r="N85" s="409"/>
      <c r="O85" s="409"/>
      <c r="P85" s="409"/>
      <c r="Q85" s="409"/>
      <c r="R85" s="409"/>
      <c r="S85" s="409"/>
      <c r="T85" s="409"/>
      <c r="U85" s="409"/>
      <c r="V85" s="409"/>
    </row>
    <row r="86" spans="1:22" s="478" customFormat="1" x14ac:dyDescent="0.25">
      <c r="A86" s="424"/>
      <c r="B86" s="409" t="s">
        <v>354</v>
      </c>
      <c r="C86" s="409"/>
      <c r="D86" s="409"/>
      <c r="E86" s="409"/>
      <c r="F86" s="515"/>
      <c r="G86" s="515"/>
      <c r="H86" s="515"/>
      <c r="I86" s="515"/>
      <c r="K86" s="340"/>
      <c r="L86" s="409"/>
      <c r="M86" s="409"/>
      <c r="N86" s="409"/>
      <c r="O86" s="409"/>
      <c r="P86" s="409"/>
      <c r="Q86" s="409"/>
      <c r="R86" s="409"/>
      <c r="S86" s="409"/>
      <c r="T86" s="409"/>
      <c r="U86" s="409"/>
      <c r="V86" s="409"/>
    </row>
    <row r="87" spans="1:22" s="478" customFormat="1" x14ac:dyDescent="0.25">
      <c r="A87" s="424"/>
      <c r="B87" s="409" t="s">
        <v>351</v>
      </c>
      <c r="C87" s="409"/>
      <c r="D87" s="409"/>
      <c r="E87" s="409"/>
      <c r="F87" s="515"/>
      <c r="G87" s="515"/>
      <c r="H87" s="515"/>
      <c r="I87" s="515"/>
      <c r="K87" s="340"/>
      <c r="L87" s="409"/>
      <c r="M87" s="409"/>
      <c r="N87" s="409"/>
      <c r="O87" s="409"/>
      <c r="P87" s="409"/>
      <c r="Q87" s="409"/>
      <c r="R87" s="409"/>
      <c r="S87" s="409"/>
      <c r="T87" s="409"/>
      <c r="U87" s="409"/>
      <c r="V87" s="409"/>
    </row>
    <row r="88" spans="1:22" s="478" customFormat="1" x14ac:dyDescent="0.25">
      <c r="A88" s="424"/>
      <c r="B88" s="409" t="s">
        <v>352</v>
      </c>
      <c r="C88" s="409"/>
      <c r="D88" s="409"/>
      <c r="E88" s="409"/>
      <c r="F88" s="515"/>
      <c r="G88" s="515"/>
      <c r="H88" s="515"/>
      <c r="I88" s="515"/>
      <c r="K88" s="340"/>
      <c r="L88" s="409"/>
      <c r="M88" s="409"/>
      <c r="N88" s="409"/>
      <c r="O88" s="409"/>
      <c r="P88" s="409"/>
      <c r="Q88" s="409"/>
      <c r="R88" s="409"/>
      <c r="S88" s="409"/>
      <c r="T88" s="409"/>
      <c r="U88" s="409"/>
      <c r="V88" s="409"/>
    </row>
    <row r="89" spans="1:22" s="478" customFormat="1" x14ac:dyDescent="0.25">
      <c r="A89" s="424"/>
      <c r="B89" s="409" t="s">
        <v>353</v>
      </c>
      <c r="C89" s="409"/>
      <c r="D89" s="409"/>
      <c r="E89" s="340"/>
      <c r="F89" s="521" t="s">
        <v>97</v>
      </c>
      <c r="G89" s="522"/>
      <c r="H89" s="340"/>
      <c r="I89" s="521" t="s">
        <v>358</v>
      </c>
      <c r="J89" s="522"/>
      <c r="K89" s="340"/>
      <c r="L89" s="521" t="s">
        <v>347</v>
      </c>
      <c r="M89" s="522"/>
      <c r="N89" s="340"/>
      <c r="O89" s="521" t="s">
        <v>348</v>
      </c>
      <c r="P89" s="522"/>
      <c r="Q89" s="409"/>
      <c r="R89" s="409"/>
      <c r="S89" s="409"/>
      <c r="T89" s="409"/>
      <c r="U89" s="409"/>
      <c r="V89" s="409"/>
    </row>
    <row r="90" spans="1:22" s="478" customFormat="1" x14ac:dyDescent="0.25">
      <c r="A90" s="424"/>
      <c r="B90" s="332"/>
      <c r="C90" s="409"/>
      <c r="D90" s="409"/>
      <c r="E90" s="520" t="s">
        <v>329</v>
      </c>
      <c r="F90" s="407" t="s">
        <v>328</v>
      </c>
      <c r="G90" s="329" t="s">
        <v>78</v>
      </c>
      <c r="H90" s="520" t="s">
        <v>329</v>
      </c>
      <c r="I90" s="407" t="s">
        <v>328</v>
      </c>
      <c r="J90" s="329" t="s">
        <v>78</v>
      </c>
      <c r="K90" s="520" t="s">
        <v>329</v>
      </c>
      <c r="L90" s="407" t="s">
        <v>328</v>
      </c>
      <c r="M90" s="329" t="s">
        <v>78</v>
      </c>
      <c r="N90" s="520" t="s">
        <v>329</v>
      </c>
      <c r="O90" s="407" t="s">
        <v>328</v>
      </c>
      <c r="P90" s="329" t="s">
        <v>78</v>
      </c>
      <c r="Q90" s="409"/>
      <c r="R90" s="409"/>
      <c r="S90" s="409"/>
      <c r="T90" s="409"/>
      <c r="U90" s="409"/>
      <c r="V90" s="409"/>
    </row>
    <row r="91" spans="1:22" s="478" customFormat="1" x14ac:dyDescent="0.25">
      <c r="A91" s="424"/>
      <c r="B91" s="409" t="s">
        <v>355</v>
      </c>
      <c r="C91" s="409"/>
      <c r="D91" s="409"/>
      <c r="E91" s="409"/>
      <c r="F91" s="515"/>
      <c r="G91" s="515"/>
      <c r="H91" s="515"/>
      <c r="I91" s="515"/>
      <c r="K91" s="340"/>
      <c r="L91" s="409"/>
      <c r="M91" s="409"/>
      <c r="N91" s="409"/>
      <c r="O91" s="409"/>
      <c r="P91" s="409"/>
      <c r="Q91" s="409"/>
      <c r="R91" s="409"/>
      <c r="S91" s="409"/>
      <c r="T91" s="409"/>
      <c r="U91" s="409"/>
      <c r="V91" s="409"/>
    </row>
    <row r="92" spans="1:22" s="478" customFormat="1" x14ac:dyDescent="0.25">
      <c r="A92" s="424"/>
      <c r="B92" s="409">
        <v>1</v>
      </c>
      <c r="C92" s="409" t="s">
        <v>356</v>
      </c>
      <c r="D92" s="409"/>
      <c r="E92" s="409"/>
      <c r="F92" s="515"/>
      <c r="G92" s="516">
        <v>181750</v>
      </c>
      <c r="H92" s="515"/>
      <c r="I92" s="515"/>
      <c r="J92" s="400">
        <f>G92</f>
        <v>181750</v>
      </c>
      <c r="K92" s="340"/>
      <c r="L92" s="409"/>
      <c r="M92" s="525">
        <v>181750</v>
      </c>
      <c r="N92" s="409"/>
      <c r="O92" s="409"/>
      <c r="P92" s="525">
        <v>181750</v>
      </c>
      <c r="Q92" s="409"/>
      <c r="R92" s="409"/>
      <c r="S92" s="409"/>
      <c r="T92" s="409"/>
      <c r="U92" s="409"/>
      <c r="V92" s="409"/>
    </row>
    <row r="93" spans="1:22" s="478" customFormat="1" x14ac:dyDescent="0.25">
      <c r="A93" s="424"/>
      <c r="B93" s="409">
        <v>2</v>
      </c>
      <c r="C93" s="409" t="s">
        <v>46</v>
      </c>
      <c r="D93" s="329" t="s">
        <v>357</v>
      </c>
      <c r="E93" s="409">
        <v>1</v>
      </c>
      <c r="F93" s="516">
        <v>66775</v>
      </c>
      <c r="G93" s="516">
        <f>F93*E93</f>
        <v>66775</v>
      </c>
      <c r="H93" s="515">
        <v>10</v>
      </c>
      <c r="I93" s="516">
        <v>66775</v>
      </c>
      <c r="J93" s="400">
        <f>I93*H93</f>
        <v>667750</v>
      </c>
      <c r="K93" s="340">
        <v>50</v>
      </c>
      <c r="L93" s="525">
        <v>66775</v>
      </c>
      <c r="M93" s="535">
        <f>L93*K93</f>
        <v>3338750</v>
      </c>
      <c r="N93" s="409">
        <v>100</v>
      </c>
      <c r="O93" s="525">
        <v>66775</v>
      </c>
      <c r="P93" s="535">
        <f>O93*N93</f>
        <v>6677500</v>
      </c>
      <c r="Q93" s="409"/>
      <c r="R93" s="409"/>
      <c r="S93" s="409"/>
      <c r="T93" s="409"/>
      <c r="U93" s="409"/>
      <c r="V93" s="409"/>
    </row>
    <row r="94" spans="1:22" s="478" customFormat="1" x14ac:dyDescent="0.25">
      <c r="A94" s="424"/>
      <c r="B94" s="409">
        <v>3</v>
      </c>
      <c r="C94" s="409" t="s">
        <v>142</v>
      </c>
      <c r="D94" s="319">
        <v>0.1</v>
      </c>
      <c r="E94" s="409">
        <f>D94*E93</f>
        <v>0.1</v>
      </c>
      <c r="F94" s="516">
        <f>F93</f>
        <v>66775</v>
      </c>
      <c r="G94" s="516">
        <f>F94*E94</f>
        <v>6677.5</v>
      </c>
      <c r="H94" s="515">
        <v>1</v>
      </c>
      <c r="I94" s="516">
        <v>66775</v>
      </c>
      <c r="J94" s="400">
        <f>I94*H94</f>
        <v>66775</v>
      </c>
      <c r="K94" s="340">
        <v>5</v>
      </c>
      <c r="L94" s="525">
        <v>66775</v>
      </c>
      <c r="M94" s="535">
        <f>L94*K94</f>
        <v>333875</v>
      </c>
      <c r="N94" s="409">
        <v>10</v>
      </c>
      <c r="O94" s="525">
        <v>66775</v>
      </c>
      <c r="P94" s="535">
        <f>O94*N94</f>
        <v>667750</v>
      </c>
      <c r="Q94" s="409"/>
      <c r="R94" s="409"/>
      <c r="S94" s="409"/>
      <c r="T94" s="409"/>
      <c r="U94" s="409"/>
      <c r="V94" s="409"/>
    </row>
    <row r="95" spans="1:22" s="478" customFormat="1" x14ac:dyDescent="0.25">
      <c r="A95" s="424"/>
      <c r="B95" s="332"/>
      <c r="C95" s="409"/>
      <c r="D95" s="409"/>
      <c r="E95" s="409"/>
      <c r="F95" s="515"/>
      <c r="G95" s="515"/>
      <c r="H95" s="515"/>
      <c r="I95" s="515"/>
      <c r="K95" s="340"/>
      <c r="L95" s="409"/>
      <c r="M95" s="409"/>
      <c r="N95" s="409"/>
      <c r="O95" s="409"/>
      <c r="P95" s="409"/>
      <c r="Q95" s="409"/>
      <c r="R95" s="409"/>
      <c r="S95" s="409"/>
      <c r="T95" s="409"/>
      <c r="U95" s="409"/>
      <c r="V95" s="409"/>
    </row>
    <row r="96" spans="1:22" s="478" customFormat="1" x14ac:dyDescent="0.25">
      <c r="A96" s="424"/>
      <c r="B96" s="321" t="s">
        <v>80</v>
      </c>
      <c r="C96" s="321"/>
      <c r="D96" s="321"/>
      <c r="E96" s="321">
        <f>SUM(E92:E94)</f>
        <v>1.1000000000000001</v>
      </c>
      <c r="F96" s="321"/>
      <c r="G96" s="536">
        <f t="shared" ref="G96:P96" si="18">SUM(G92:G94)</f>
        <v>255202.5</v>
      </c>
      <c r="H96" s="536">
        <f t="shared" si="18"/>
        <v>11</v>
      </c>
      <c r="I96" s="536"/>
      <c r="J96" s="536">
        <f t="shared" si="18"/>
        <v>916275</v>
      </c>
      <c r="K96" s="536">
        <f t="shared" si="18"/>
        <v>55</v>
      </c>
      <c r="L96" s="536"/>
      <c r="M96" s="536">
        <f t="shared" si="18"/>
        <v>3854375</v>
      </c>
      <c r="N96" s="536">
        <f t="shared" si="18"/>
        <v>110</v>
      </c>
      <c r="O96" s="536"/>
      <c r="P96" s="536">
        <f t="shared" si="18"/>
        <v>7527000</v>
      </c>
      <c r="Q96" s="409"/>
      <c r="R96" s="409"/>
      <c r="S96" s="409"/>
      <c r="T96" s="409"/>
      <c r="U96" s="409"/>
      <c r="V96" s="409"/>
    </row>
    <row r="97" spans="1:22" s="478" customFormat="1" x14ac:dyDescent="0.25">
      <c r="A97" s="424"/>
      <c r="B97" s="332"/>
      <c r="C97" s="409"/>
      <c r="D97" s="409"/>
      <c r="E97" s="409"/>
      <c r="F97" s="515"/>
      <c r="G97" s="515"/>
      <c r="H97" s="515"/>
      <c r="I97" s="515"/>
      <c r="K97" s="340"/>
      <c r="L97" s="409"/>
      <c r="M97" s="409"/>
      <c r="N97" s="409"/>
      <c r="O97" s="409"/>
      <c r="P97" s="409"/>
      <c r="Q97" s="409"/>
      <c r="R97" s="409"/>
      <c r="S97" s="409"/>
      <c r="T97" s="409"/>
      <c r="U97" s="409"/>
      <c r="V97" s="409"/>
    </row>
    <row r="98" spans="1:22" x14ac:dyDescent="0.25">
      <c r="A98" s="362"/>
      <c r="B98" s="362"/>
      <c r="C98" s="339"/>
      <c r="D98" s="339"/>
      <c r="E98" s="339"/>
      <c r="F98" s="339"/>
      <c r="G98" s="339"/>
      <c r="H98" s="339"/>
      <c r="I98" s="339"/>
      <c r="K98" s="362"/>
      <c r="L98" s="362"/>
      <c r="M98" s="362"/>
      <c r="N98" s="362"/>
      <c r="O98" s="362"/>
      <c r="P98" s="362"/>
      <c r="Q98" s="362"/>
      <c r="R98" s="296"/>
      <c r="S98" s="296"/>
      <c r="T98" s="296"/>
      <c r="U98" s="296"/>
      <c r="V98" s="296"/>
    </row>
    <row r="99" spans="1:22" x14ac:dyDescent="0.25">
      <c r="A99" s="332" t="s">
        <v>77</v>
      </c>
      <c r="B99" s="332" t="s">
        <v>50</v>
      </c>
      <c r="C99" s="370"/>
      <c r="D99" s="370"/>
      <c r="E99" s="370"/>
      <c r="F99" s="329" t="s">
        <v>84</v>
      </c>
      <c r="G99" s="341" t="s">
        <v>106</v>
      </c>
      <c r="H99" s="341" t="s">
        <v>108</v>
      </c>
      <c r="I99" s="341" t="s">
        <v>107</v>
      </c>
      <c r="K99" s="370"/>
      <c r="L99" s="296"/>
      <c r="M99" s="296"/>
      <c r="N99" s="296"/>
      <c r="O99" s="296"/>
      <c r="P99" s="296"/>
      <c r="Q99" s="296"/>
      <c r="R99" s="296"/>
      <c r="S99" s="296"/>
      <c r="T99" s="296"/>
      <c r="U99" s="296"/>
      <c r="V99" s="296"/>
    </row>
    <row r="100" spans="1:22" s="478" customFormat="1" x14ac:dyDescent="0.25">
      <c r="A100" s="332"/>
      <c r="B100" s="332"/>
      <c r="C100" s="409"/>
      <c r="D100" s="409"/>
      <c r="E100" s="409"/>
      <c r="F100" s="329"/>
      <c r="G100" s="341"/>
      <c r="H100" s="341"/>
      <c r="I100" s="341"/>
      <c r="K100" s="409"/>
      <c r="L100" s="296"/>
      <c r="M100" s="296"/>
      <c r="N100" s="296"/>
      <c r="O100" s="296"/>
      <c r="P100" s="296"/>
      <c r="Q100" s="296"/>
      <c r="R100" s="296"/>
      <c r="S100" s="296"/>
      <c r="T100" s="296"/>
      <c r="U100" s="296"/>
      <c r="V100" s="296"/>
    </row>
    <row r="101" spans="1:22" s="478" customFormat="1" x14ac:dyDescent="0.25">
      <c r="A101" s="332"/>
      <c r="B101" s="409" t="s">
        <v>359</v>
      </c>
      <c r="C101" s="409"/>
      <c r="D101" s="409"/>
      <c r="E101" s="409"/>
      <c r="F101" s="329"/>
      <c r="G101" s="341"/>
      <c r="H101" s="341"/>
      <c r="I101" s="341"/>
      <c r="K101" s="409"/>
      <c r="L101" s="296"/>
      <c r="M101" s="296"/>
      <c r="N101" s="296"/>
      <c r="O101" s="296"/>
      <c r="P101" s="296"/>
      <c r="Q101" s="296"/>
      <c r="R101" s="296"/>
      <c r="S101" s="296"/>
      <c r="T101" s="296"/>
      <c r="U101" s="296"/>
      <c r="V101" s="296"/>
    </row>
    <row r="102" spans="1:22" s="478" customFormat="1" x14ac:dyDescent="0.25">
      <c r="A102" s="332"/>
      <c r="B102" s="409" t="s">
        <v>360</v>
      </c>
      <c r="C102" s="409"/>
      <c r="D102" s="409"/>
      <c r="E102" s="409"/>
      <c r="F102" s="329"/>
      <c r="G102" s="341"/>
      <c r="H102" s="341"/>
      <c r="I102" s="341"/>
      <c r="K102" s="409"/>
      <c r="L102" s="296"/>
      <c r="M102" s="296"/>
      <c r="N102" s="296"/>
      <c r="O102" s="296"/>
      <c r="P102" s="296"/>
      <c r="Q102" s="296"/>
      <c r="R102" s="296"/>
      <c r="S102" s="296"/>
      <c r="T102" s="296"/>
      <c r="U102" s="296"/>
      <c r="V102" s="296"/>
    </row>
    <row r="103" spans="1:22" x14ac:dyDescent="0.25">
      <c r="A103" s="370"/>
      <c r="B103" s="332"/>
      <c r="C103" s="370"/>
      <c r="D103" s="370"/>
      <c r="E103" s="370"/>
      <c r="F103" s="342"/>
      <c r="G103" s="342"/>
      <c r="H103" s="342"/>
      <c r="I103" s="342"/>
      <c r="K103" s="370"/>
      <c r="L103" s="296"/>
      <c r="M103" s="296"/>
      <c r="N103" s="296"/>
      <c r="O103" s="296"/>
      <c r="P103" s="296"/>
      <c r="Q103" s="296"/>
      <c r="R103" s="296"/>
      <c r="S103" s="296"/>
      <c r="T103" s="296"/>
      <c r="U103" s="296"/>
      <c r="V103" s="296"/>
    </row>
    <row r="104" spans="1:22" x14ac:dyDescent="0.25">
      <c r="A104" s="370"/>
      <c r="B104" s="321" t="s">
        <v>80</v>
      </c>
      <c r="C104" s="321"/>
      <c r="D104" s="321"/>
      <c r="E104" s="321"/>
      <c r="F104" s="325">
        <f>G96</f>
        <v>255202.5</v>
      </c>
      <c r="G104" s="325">
        <f>J96</f>
        <v>916275</v>
      </c>
      <c r="H104" s="325">
        <f>M96</f>
        <v>3854375</v>
      </c>
      <c r="I104" s="325">
        <f>P96</f>
        <v>7527000</v>
      </c>
      <c r="K104" s="370"/>
      <c r="L104" s="296"/>
      <c r="M104" s="296"/>
      <c r="N104" s="296"/>
      <c r="O104" s="296"/>
      <c r="P104" s="296"/>
      <c r="Q104" s="296"/>
      <c r="R104" s="296"/>
      <c r="S104" s="296"/>
      <c r="T104" s="296"/>
      <c r="U104" s="296"/>
      <c r="V104" s="296"/>
    </row>
    <row r="105" spans="1:22" x14ac:dyDescent="0.25">
      <c r="A105" s="370"/>
      <c r="B105" s="370"/>
      <c r="C105" s="370"/>
      <c r="D105" s="370"/>
      <c r="E105" s="370"/>
      <c r="F105" s="370"/>
      <c r="G105" s="370"/>
      <c r="H105" s="370"/>
      <c r="I105" s="370"/>
      <c r="J105" s="370"/>
      <c r="K105" s="370"/>
      <c r="L105" s="296"/>
      <c r="M105" s="296"/>
      <c r="N105" s="296"/>
      <c r="O105" s="296"/>
      <c r="P105" s="296"/>
      <c r="Q105" s="296"/>
      <c r="R105" s="296"/>
      <c r="S105" s="296"/>
      <c r="T105" s="296"/>
      <c r="U105" s="296"/>
      <c r="V105" s="296"/>
    </row>
    <row r="106" spans="1:22" x14ac:dyDescent="0.25">
      <c r="A106" s="370"/>
      <c r="B106" s="370"/>
      <c r="C106" s="370"/>
      <c r="D106" s="370"/>
      <c r="E106" s="370"/>
      <c r="F106" s="370"/>
      <c r="G106" s="370"/>
      <c r="H106" s="370"/>
      <c r="I106" s="370"/>
      <c r="J106" s="370"/>
      <c r="K106" s="370"/>
      <c r="L106" s="296"/>
      <c r="M106" s="296"/>
      <c r="N106" s="296"/>
      <c r="O106" s="296"/>
      <c r="P106" s="296"/>
      <c r="Q106" s="296"/>
      <c r="R106" s="296"/>
      <c r="S106" s="296"/>
      <c r="T106" s="296"/>
      <c r="U106" s="296"/>
      <c r="V106" s="296"/>
    </row>
    <row r="107" spans="1:22" s="253" customFormat="1" x14ac:dyDescent="0.25">
      <c r="A107" s="332" t="s">
        <v>148</v>
      </c>
      <c r="B107" s="363"/>
      <c r="C107" s="363"/>
      <c r="D107" s="363"/>
      <c r="E107" s="363"/>
      <c r="F107" s="363"/>
      <c r="G107" s="363"/>
      <c r="H107" s="363"/>
      <c r="I107" s="363"/>
      <c r="J107" s="363"/>
      <c r="K107" s="363"/>
      <c r="L107" s="296"/>
      <c r="M107" s="296"/>
      <c r="N107" s="296"/>
      <c r="O107" s="296"/>
      <c r="P107" s="296"/>
      <c r="Q107" s="296"/>
      <c r="R107" s="296"/>
      <c r="S107" s="296"/>
      <c r="T107" s="296"/>
      <c r="U107" s="296"/>
      <c r="V107" s="296"/>
    </row>
    <row r="108" spans="1:22" s="606" customFormat="1" x14ac:dyDescent="0.25">
      <c r="A108" s="607" t="s">
        <v>72</v>
      </c>
      <c r="B108" s="607"/>
      <c r="C108" s="607"/>
      <c r="D108" s="607"/>
      <c r="E108" s="607"/>
      <c r="F108" s="607"/>
      <c r="G108" s="607"/>
      <c r="H108" s="607"/>
      <c r="I108" s="607"/>
      <c r="J108" s="607"/>
      <c r="K108" s="607"/>
      <c r="L108" s="608"/>
      <c r="M108" s="608"/>
      <c r="N108" s="608"/>
      <c r="O108" s="608"/>
      <c r="P108" s="608"/>
      <c r="Q108" s="608"/>
      <c r="R108" s="608"/>
      <c r="S108" s="608"/>
      <c r="T108" s="608"/>
      <c r="U108" s="608"/>
      <c r="V108" s="608"/>
    </row>
    <row r="109" spans="1:22" s="606" customFormat="1" x14ac:dyDescent="0.25">
      <c r="A109" s="607" t="s">
        <v>73</v>
      </c>
      <c r="B109" s="607" t="s">
        <v>468</v>
      </c>
      <c r="C109" s="607"/>
      <c r="D109" s="607"/>
      <c r="E109" s="607"/>
      <c r="F109" s="607"/>
      <c r="G109" s="607"/>
      <c r="H109" s="607"/>
      <c r="I109" s="607"/>
      <c r="J109" s="607"/>
      <c r="K109" s="607"/>
      <c r="L109" s="608"/>
      <c r="M109" s="608"/>
      <c r="N109" s="608"/>
      <c r="O109" s="608"/>
      <c r="P109" s="608"/>
      <c r="Q109" s="608"/>
      <c r="R109" s="608"/>
      <c r="S109" s="608"/>
      <c r="T109" s="608"/>
      <c r="U109" s="608"/>
      <c r="V109" s="608"/>
    </row>
    <row r="110" spans="1:22" s="606" customFormat="1" x14ac:dyDescent="0.25">
      <c r="A110" s="607" t="s">
        <v>74</v>
      </c>
      <c r="B110" s="607" t="s">
        <v>468</v>
      </c>
      <c r="C110" s="607"/>
      <c r="D110" s="607"/>
      <c r="E110" s="607"/>
      <c r="F110" s="607"/>
      <c r="G110" s="607"/>
      <c r="H110" s="607"/>
      <c r="I110" s="607"/>
      <c r="J110" s="607"/>
      <c r="K110" s="607"/>
      <c r="L110" s="608"/>
      <c r="M110" s="608"/>
      <c r="N110" s="608"/>
      <c r="O110" s="608"/>
      <c r="P110" s="608"/>
      <c r="Q110" s="608"/>
      <c r="R110" s="608"/>
      <c r="S110" s="608"/>
      <c r="T110" s="608"/>
      <c r="U110" s="608"/>
      <c r="V110" s="608"/>
    </row>
    <row r="111" spans="1:22" s="606" customFormat="1" x14ac:dyDescent="0.25">
      <c r="A111" s="607" t="s">
        <v>75</v>
      </c>
      <c r="B111" s="607" t="s">
        <v>468</v>
      </c>
      <c r="C111" s="607"/>
      <c r="D111" s="607"/>
      <c r="E111" s="607"/>
      <c r="F111" s="607"/>
      <c r="G111" s="607"/>
      <c r="H111" s="607"/>
      <c r="I111" s="607"/>
      <c r="J111" s="607"/>
      <c r="K111" s="607"/>
      <c r="L111" s="608"/>
      <c r="M111" s="608"/>
      <c r="N111" s="608"/>
      <c r="O111" s="608"/>
      <c r="P111" s="608"/>
      <c r="Q111" s="608"/>
      <c r="R111" s="608"/>
      <c r="S111" s="608"/>
      <c r="T111" s="608"/>
      <c r="U111" s="608"/>
      <c r="V111" s="608"/>
    </row>
    <row r="112" spans="1:22" s="606" customFormat="1" x14ac:dyDescent="0.25">
      <c r="A112" s="607" t="s">
        <v>76</v>
      </c>
      <c r="B112" s="607" t="s">
        <v>468</v>
      </c>
      <c r="C112" s="607"/>
      <c r="D112" s="607"/>
      <c r="E112" s="607"/>
      <c r="F112" s="607"/>
      <c r="G112" s="607"/>
      <c r="H112" s="607"/>
      <c r="I112" s="607"/>
      <c r="J112" s="607"/>
      <c r="K112" s="607"/>
      <c r="L112" s="608"/>
      <c r="M112" s="608"/>
      <c r="N112" s="608"/>
      <c r="O112" s="608"/>
      <c r="P112" s="608"/>
      <c r="Q112" s="608"/>
      <c r="R112" s="608"/>
      <c r="S112" s="608"/>
      <c r="T112" s="608"/>
      <c r="U112" s="608"/>
      <c r="V112" s="608"/>
    </row>
    <row r="113" spans="1:22" x14ac:dyDescent="0.25">
      <c r="A113" s="607" t="s">
        <v>77</v>
      </c>
      <c r="B113" s="607" t="s">
        <v>468</v>
      </c>
      <c r="C113" s="363"/>
      <c r="D113" s="363"/>
      <c r="E113" s="363"/>
      <c r="F113" s="363"/>
      <c r="G113" s="363"/>
      <c r="H113" s="363"/>
      <c r="I113" s="363"/>
      <c r="J113" s="363"/>
      <c r="K113" s="363"/>
      <c r="L113" s="296"/>
      <c r="M113" s="296"/>
      <c r="N113" s="296"/>
      <c r="O113" s="296"/>
      <c r="P113" s="296"/>
      <c r="Q113" s="296"/>
      <c r="R113" s="296"/>
      <c r="S113" s="296"/>
      <c r="T113" s="296"/>
      <c r="U113" s="296"/>
      <c r="V113" s="296"/>
    </row>
    <row r="114" spans="1:22" x14ac:dyDescent="0.25">
      <c r="A114" s="363"/>
      <c r="B114" s="607"/>
      <c r="C114" s="363"/>
      <c r="D114" s="363"/>
      <c r="E114" s="363"/>
      <c r="F114" s="363"/>
      <c r="G114" s="363"/>
      <c r="H114" s="363"/>
      <c r="I114" s="363"/>
      <c r="J114" s="363"/>
      <c r="K114" s="363"/>
      <c r="L114" s="296"/>
      <c r="M114" s="296"/>
      <c r="N114" s="296"/>
      <c r="O114" s="296"/>
      <c r="P114" s="296"/>
      <c r="Q114" s="296"/>
      <c r="R114" s="296"/>
      <c r="S114" s="296"/>
      <c r="T114" s="296"/>
      <c r="U114" s="296"/>
      <c r="V114" s="296"/>
    </row>
    <row r="115" spans="1:22" x14ac:dyDescent="0.25">
      <c r="A115" s="332" t="s">
        <v>212</v>
      </c>
      <c r="B115" s="363"/>
      <c r="C115" s="363"/>
      <c r="D115" s="363"/>
      <c r="E115" s="363"/>
      <c r="F115" s="363"/>
      <c r="G115" s="363"/>
      <c r="H115" s="363"/>
      <c r="I115" s="363"/>
      <c r="J115" s="363"/>
      <c r="K115" s="363"/>
      <c r="L115" s="296"/>
      <c r="M115" s="296"/>
      <c r="N115" s="296"/>
      <c r="O115" s="296"/>
      <c r="P115" s="296"/>
      <c r="Q115" s="296"/>
      <c r="R115" s="296"/>
      <c r="S115" s="296"/>
      <c r="T115" s="296"/>
      <c r="U115" s="296"/>
      <c r="V115" s="296"/>
    </row>
    <row r="116" spans="1:22" x14ac:dyDescent="0.25">
      <c r="A116" s="363" t="s">
        <v>72</v>
      </c>
      <c r="B116" s="607" t="s">
        <v>467</v>
      </c>
      <c r="C116" s="363"/>
      <c r="D116" s="363"/>
      <c r="E116" s="363"/>
      <c r="F116" s="363"/>
      <c r="G116" s="363"/>
      <c r="H116" s="363"/>
      <c r="I116" s="363"/>
      <c r="J116" s="363"/>
      <c r="K116" s="363"/>
    </row>
    <row r="117" spans="1:22" x14ac:dyDescent="0.25">
      <c r="A117" s="363" t="s">
        <v>73</v>
      </c>
      <c r="B117" s="607" t="s">
        <v>467</v>
      </c>
      <c r="C117" s="363"/>
      <c r="D117" s="363"/>
      <c r="E117" s="363"/>
      <c r="F117" s="363"/>
      <c r="G117" s="363"/>
      <c r="H117" s="363"/>
      <c r="I117" s="363"/>
      <c r="J117" s="363"/>
      <c r="K117" s="363"/>
    </row>
    <row r="118" spans="1:22" x14ac:dyDescent="0.25">
      <c r="A118" s="363" t="s">
        <v>74</v>
      </c>
      <c r="B118" s="607" t="s">
        <v>467</v>
      </c>
      <c r="C118" s="363"/>
      <c r="D118" s="363"/>
      <c r="E118" s="363"/>
      <c r="F118" s="363"/>
      <c r="G118" s="363"/>
      <c r="H118" s="363"/>
      <c r="I118" s="363"/>
      <c r="J118" s="363"/>
      <c r="K118" s="363"/>
    </row>
    <row r="119" spans="1:22" x14ac:dyDescent="0.25">
      <c r="A119" s="363" t="s">
        <v>75</v>
      </c>
      <c r="B119" s="607" t="s">
        <v>467</v>
      </c>
      <c r="C119" s="363"/>
      <c r="D119" s="363"/>
      <c r="E119" s="363"/>
      <c r="F119" s="363"/>
      <c r="G119" s="363"/>
      <c r="H119" s="363"/>
      <c r="I119" s="363"/>
      <c r="J119" s="363"/>
      <c r="K119" s="363"/>
    </row>
    <row r="120" spans="1:22" x14ac:dyDescent="0.25">
      <c r="A120" s="363" t="s">
        <v>76</v>
      </c>
      <c r="B120" s="607" t="s">
        <v>467</v>
      </c>
      <c r="C120" s="363"/>
      <c r="D120" s="363"/>
      <c r="E120" s="363"/>
      <c r="F120" s="363"/>
      <c r="G120" s="363"/>
      <c r="H120" s="363"/>
      <c r="I120" s="363"/>
      <c r="J120" s="363"/>
      <c r="K120" s="363"/>
    </row>
    <row r="121" spans="1:22" x14ac:dyDescent="0.25">
      <c r="A121" s="363" t="s">
        <v>77</v>
      </c>
      <c r="B121" s="607" t="s">
        <v>467</v>
      </c>
      <c r="C121" s="363"/>
      <c r="D121" s="363"/>
      <c r="E121" s="363"/>
      <c r="F121" s="363"/>
      <c r="G121" s="363"/>
      <c r="H121" s="363"/>
      <c r="I121" s="363"/>
      <c r="J121" s="363"/>
      <c r="K121" s="363"/>
    </row>
    <row r="122" spans="1:22" x14ac:dyDescent="0.25">
      <c r="A122" s="363"/>
      <c r="B122" s="363"/>
      <c r="C122" s="363"/>
      <c r="D122" s="363"/>
      <c r="E122" s="363"/>
      <c r="F122" s="363"/>
      <c r="G122" s="363"/>
      <c r="H122" s="363"/>
      <c r="I122" s="363"/>
      <c r="J122" s="363"/>
      <c r="K122" s="363"/>
    </row>
    <row r="123" spans="1:22" x14ac:dyDescent="0.25">
      <c r="A123" s="363"/>
      <c r="B123" s="363"/>
      <c r="C123" s="363"/>
      <c r="D123" s="363"/>
      <c r="E123" s="363"/>
      <c r="F123" s="363"/>
      <c r="G123" s="363"/>
      <c r="H123" s="363"/>
      <c r="I123" s="363"/>
      <c r="J123" s="363"/>
      <c r="K123" s="363"/>
    </row>
  </sheetData>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70" zoomScaleNormal="70" zoomScalePageLayoutView="70" workbookViewId="0">
      <selection activeCell="A9" sqref="A9"/>
    </sheetView>
  </sheetViews>
  <sheetFormatPr defaultColWidth="8.85546875" defaultRowHeight="15" x14ac:dyDescent="0.25"/>
  <cols>
    <col min="1" max="1" width="5.85546875" customWidth="1"/>
  </cols>
  <sheetData>
    <row r="1" spans="1:2" x14ac:dyDescent="0.25">
      <c r="A1" s="57" t="s">
        <v>161</v>
      </c>
    </row>
    <row r="3" spans="1:2" s="253" customFormat="1" x14ac:dyDescent="0.25">
      <c r="A3" s="174" t="s">
        <v>148</v>
      </c>
    </row>
    <row r="4" spans="1:2" s="253" customFormat="1" x14ac:dyDescent="0.25">
      <c r="A4" s="253">
        <v>1.8</v>
      </c>
      <c r="B4" s="253" t="s">
        <v>217</v>
      </c>
    </row>
    <row r="5" spans="1:2" s="253" customFormat="1" x14ac:dyDescent="0.25">
      <c r="B5" s="253" t="s">
        <v>163</v>
      </c>
    </row>
    <row r="7" spans="1:2" x14ac:dyDescent="0.25">
      <c r="A7" s="385" t="s">
        <v>212</v>
      </c>
    </row>
    <row r="8" spans="1:2" x14ac:dyDescent="0.25">
      <c r="A8">
        <v>1.8</v>
      </c>
      <c r="B8" t="s">
        <v>469</v>
      </c>
    </row>
  </sheetData>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70" zoomScaleNormal="70" zoomScalePageLayoutView="70" workbookViewId="0">
      <selection activeCell="J17" sqref="J17"/>
    </sheetView>
  </sheetViews>
  <sheetFormatPr defaultColWidth="8.85546875" defaultRowHeight="15" x14ac:dyDescent="0.25"/>
  <sheetData>
    <row r="1" spans="1:3" x14ac:dyDescent="0.25">
      <c r="A1" s="57" t="s">
        <v>162</v>
      </c>
    </row>
    <row r="3" spans="1:3" s="253" customFormat="1" x14ac:dyDescent="0.25">
      <c r="A3" s="174" t="s">
        <v>148</v>
      </c>
    </row>
    <row r="4" spans="1:3" s="253" customFormat="1" x14ac:dyDescent="0.25">
      <c r="A4" s="253">
        <v>1.9</v>
      </c>
      <c r="B4" s="253" t="s">
        <v>218</v>
      </c>
    </row>
    <row r="5" spans="1:3" s="253" customFormat="1" x14ac:dyDescent="0.25">
      <c r="B5" s="253" t="s">
        <v>184</v>
      </c>
    </row>
    <row r="7" spans="1:3" x14ac:dyDescent="0.25">
      <c r="A7" s="385" t="s">
        <v>212</v>
      </c>
    </row>
    <row r="8" spans="1:3" x14ac:dyDescent="0.25">
      <c r="A8">
        <v>1.9</v>
      </c>
      <c r="B8" t="s">
        <v>470</v>
      </c>
    </row>
    <row r="11" spans="1:3" x14ac:dyDescent="0.25">
      <c r="A11" s="385"/>
      <c r="B11" s="383"/>
      <c r="C11" s="383"/>
    </row>
    <row r="12" spans="1:3" x14ac:dyDescent="0.25">
      <c r="A12" s="383"/>
      <c r="B12" s="384"/>
      <c r="C12" s="386"/>
    </row>
    <row r="13" spans="1:3" x14ac:dyDescent="0.25">
      <c r="A13" s="383"/>
      <c r="B13" s="383"/>
      <c r="C13" s="383"/>
    </row>
    <row r="14" spans="1:3" x14ac:dyDescent="0.25">
      <c r="B14" s="383"/>
      <c r="C14" s="383"/>
    </row>
    <row r="15" spans="1:3" x14ac:dyDescent="0.25">
      <c r="A15" s="383"/>
      <c r="B15" s="384"/>
      <c r="C15" s="383"/>
    </row>
  </sheetData>
  <pageMargins left="0.7" right="0.7" top="0.75" bottom="0.75"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H21"/>
  <sheetViews>
    <sheetView zoomScale="70" zoomScaleNormal="70" zoomScalePageLayoutView="70" workbookViewId="0">
      <selection activeCell="R43" sqref="R43"/>
    </sheetView>
  </sheetViews>
  <sheetFormatPr defaultColWidth="8.85546875" defaultRowHeight="15" x14ac:dyDescent="0.25"/>
  <cols>
    <col min="1" max="1" width="7" customWidth="1"/>
    <col min="3" max="3" width="14.28515625" customWidth="1"/>
    <col min="4" max="4" width="7.42578125" customWidth="1"/>
    <col min="5" max="5" width="13.42578125" bestFit="1" customWidth="1"/>
    <col min="6" max="6" width="17" customWidth="1"/>
    <col min="7" max="7" width="19.85546875" customWidth="1"/>
    <col min="8" max="8" width="16.85546875" customWidth="1"/>
  </cols>
  <sheetData>
    <row r="1" spans="1:8" x14ac:dyDescent="0.25">
      <c r="A1" s="427" t="s">
        <v>369</v>
      </c>
    </row>
    <row r="3" spans="1:8" x14ac:dyDescent="0.25">
      <c r="A3" s="57" t="s">
        <v>109</v>
      </c>
      <c r="D3" t="s">
        <v>65</v>
      </c>
      <c r="E3" s="44">
        <v>1</v>
      </c>
      <c r="F3" s="44">
        <v>10</v>
      </c>
      <c r="G3" s="44">
        <v>50</v>
      </c>
      <c r="H3" s="44">
        <v>100</v>
      </c>
    </row>
    <row r="4" spans="1:8" x14ac:dyDescent="0.25">
      <c r="B4">
        <v>2.1</v>
      </c>
      <c r="C4" t="s">
        <v>51</v>
      </c>
      <c r="E4" s="37">
        <f>('CBS (Total)'!J12+'CBS (Total)'!J23+'CBS (Total)'!J30+'CBS (Total)'!J41+'CBS (Total)'!J42+'CBS (Total)'!J18)*E6</f>
        <v>262098.97066099962</v>
      </c>
      <c r="F4" s="37">
        <f>('CBS (Total)'!L12+'CBS (Total)'!L23+'CBS (Total)'!L30+'CBS (Total)'!L41+'CBS (Total)'!L42+'CBS (Total)'!L18)*F6</f>
        <v>1194756.829384062</v>
      </c>
      <c r="G4" s="37">
        <f>('CBS (Total)'!N12+'CBS (Total)'!N23+'CBS (Total)'!N30+'CBS (Total)'!N41+'CBS (Total)'!N42+'CBS (Total)'!N18)*G6</f>
        <v>2268773.8088291218</v>
      </c>
      <c r="H4" s="37">
        <f>('CBS (Total)'!P12+'CBS (Total)'!P23+'CBS (Total)'!P30+'CBS (Total)'!P41+'CBS (Total)'!P42+'CBS (Total)'!P18)*H6</f>
        <v>2205917.4675544677</v>
      </c>
    </row>
    <row r="6" spans="1:8" x14ac:dyDescent="0.25">
      <c r="C6" t="s">
        <v>361</v>
      </c>
      <c r="E6" s="42">
        <f>C10</f>
        <v>0.02</v>
      </c>
      <c r="F6" s="42">
        <f>C11</f>
        <v>0.02</v>
      </c>
      <c r="G6" s="42">
        <f>C12</f>
        <v>0.01</v>
      </c>
      <c r="H6" s="45">
        <f>C13</f>
        <v>5.0000000000000001E-3</v>
      </c>
    </row>
    <row r="7" spans="1:8" s="478" customFormat="1" x14ac:dyDescent="0.25">
      <c r="E7" s="408"/>
      <c r="F7" s="372"/>
      <c r="G7" s="372"/>
      <c r="H7" s="45"/>
    </row>
    <row r="9" spans="1:8" x14ac:dyDescent="0.25">
      <c r="A9" s="57" t="s">
        <v>81</v>
      </c>
    </row>
    <row r="10" spans="1:8" x14ac:dyDescent="0.25">
      <c r="B10" t="s">
        <v>91</v>
      </c>
      <c r="C10" s="15">
        <v>0.02</v>
      </c>
      <c r="D10" t="s">
        <v>95</v>
      </c>
    </row>
    <row r="11" spans="1:8" x14ac:dyDescent="0.25">
      <c r="B11" t="s">
        <v>92</v>
      </c>
      <c r="C11" s="15">
        <v>0.02</v>
      </c>
    </row>
    <row r="12" spans="1:8" x14ac:dyDescent="0.25">
      <c r="B12" t="s">
        <v>94</v>
      </c>
      <c r="C12" s="15">
        <v>0.01</v>
      </c>
    </row>
    <row r="13" spans="1:8" x14ac:dyDescent="0.25">
      <c r="B13" t="s">
        <v>93</v>
      </c>
      <c r="C13" s="20">
        <v>5.0000000000000001E-3</v>
      </c>
      <c r="D13" t="s">
        <v>96</v>
      </c>
    </row>
    <row r="15" spans="1:8" s="253" customFormat="1" x14ac:dyDescent="0.25">
      <c r="A15" s="174" t="s">
        <v>148</v>
      </c>
    </row>
    <row r="16" spans="1:8" s="253" customFormat="1" x14ac:dyDescent="0.25">
      <c r="A16" s="253">
        <v>2.1</v>
      </c>
      <c r="B16" s="253" t="s">
        <v>219</v>
      </c>
    </row>
    <row r="17" spans="1:2" s="253" customFormat="1" x14ac:dyDescent="0.25">
      <c r="B17" s="253" t="s">
        <v>220</v>
      </c>
    </row>
    <row r="18" spans="1:2" s="253" customFormat="1" x14ac:dyDescent="0.25">
      <c r="B18" s="253" t="s">
        <v>221</v>
      </c>
    </row>
    <row r="19" spans="1:2" s="253" customFormat="1" x14ac:dyDescent="0.25"/>
    <row r="20" spans="1:2" s="253" customFormat="1" x14ac:dyDescent="0.25">
      <c r="A20" s="174" t="s">
        <v>212</v>
      </c>
    </row>
    <row r="21" spans="1:2" s="253" customFormat="1" x14ac:dyDescent="0.25">
      <c r="A21" s="253">
        <v>2.1</v>
      </c>
      <c r="B21" s="253" t="s">
        <v>222</v>
      </c>
    </row>
  </sheetData>
  <pageMargins left="0.7" right="0.7" top="0.75" bottom="0.75" header="0.3" footer="0.3"/>
  <pageSetup orientation="portrait" horizontalDpi="4294967293" verticalDpi="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T30"/>
  <sheetViews>
    <sheetView zoomScale="70" zoomScaleNormal="70" zoomScalePageLayoutView="70" workbookViewId="0">
      <selection activeCell="C9" sqref="C9:G22"/>
    </sheetView>
  </sheetViews>
  <sheetFormatPr defaultColWidth="8.85546875" defaultRowHeight="15" x14ac:dyDescent="0.25"/>
  <cols>
    <col min="1" max="1" width="4.140625" customWidth="1"/>
    <col min="2" max="2" width="4.42578125" customWidth="1"/>
    <col min="3" max="3" width="55.42578125" customWidth="1"/>
    <col min="4" max="4" width="14.7109375" customWidth="1"/>
    <col min="5" max="7" width="14.140625" customWidth="1"/>
    <col min="8" max="8" width="15.28515625" customWidth="1"/>
    <col min="9" max="9" width="16.42578125" customWidth="1"/>
    <col min="10" max="10" width="25.42578125" customWidth="1"/>
    <col min="12" max="12" width="8.85546875" style="253"/>
    <col min="13" max="13" width="21.85546875" customWidth="1"/>
    <col min="14" max="14" width="20.42578125" customWidth="1"/>
    <col min="15" max="15" width="14" customWidth="1"/>
  </cols>
  <sheetData>
    <row r="1" spans="1:20" s="478" customFormat="1" x14ac:dyDescent="0.25">
      <c r="A1" s="427" t="s">
        <v>370</v>
      </c>
    </row>
    <row r="3" spans="1:20" x14ac:dyDescent="0.25">
      <c r="A3" s="57" t="s">
        <v>109</v>
      </c>
      <c r="B3" s="56"/>
      <c r="C3" s="56"/>
      <c r="E3" s="61">
        <v>1</v>
      </c>
      <c r="F3" s="61">
        <v>10</v>
      </c>
      <c r="G3" s="61">
        <v>50</v>
      </c>
      <c r="H3" s="61">
        <v>100</v>
      </c>
    </row>
    <row r="4" spans="1:20" x14ac:dyDescent="0.25">
      <c r="A4" s="57"/>
      <c r="B4" s="56">
        <v>2.2000000000000002</v>
      </c>
      <c r="C4" s="56" t="s">
        <v>52</v>
      </c>
      <c r="E4" s="162">
        <f>E22</f>
        <v>465000</v>
      </c>
      <c r="F4" s="179">
        <f>F22</f>
        <v>2085000</v>
      </c>
      <c r="G4" s="179">
        <f>G22</f>
        <v>1785000</v>
      </c>
      <c r="H4" s="162">
        <f>G22</f>
        <v>1785000</v>
      </c>
    </row>
    <row r="6" spans="1:20" x14ac:dyDescent="0.25">
      <c r="H6" s="177"/>
      <c r="I6" s="177"/>
      <c r="J6" s="211"/>
      <c r="K6" s="211"/>
      <c r="L6" s="211"/>
      <c r="M6" s="211"/>
      <c r="N6" s="211"/>
      <c r="O6" s="177"/>
      <c r="P6" s="177"/>
      <c r="Q6" s="177"/>
      <c r="R6" s="177"/>
      <c r="S6" s="177"/>
      <c r="T6" s="177"/>
    </row>
    <row r="7" spans="1:20" x14ac:dyDescent="0.25">
      <c r="H7" s="177"/>
      <c r="I7" s="177"/>
      <c r="J7" s="177"/>
      <c r="K7" s="211"/>
      <c r="L7" s="211"/>
      <c r="M7" s="211"/>
      <c r="N7" s="211"/>
      <c r="O7" s="177"/>
      <c r="P7" s="177"/>
      <c r="Q7" s="177"/>
      <c r="R7" s="177"/>
      <c r="S7" s="177"/>
      <c r="T7" s="177"/>
    </row>
    <row r="8" spans="1:20" ht="15" customHeight="1" x14ac:dyDescent="0.25">
      <c r="A8" s="160" t="s">
        <v>226</v>
      </c>
      <c r="C8" s="161"/>
      <c r="D8" s="176"/>
      <c r="E8" s="176" t="s">
        <v>84</v>
      </c>
      <c r="F8" s="189" t="s">
        <v>87</v>
      </c>
      <c r="G8" s="275" t="s">
        <v>223</v>
      </c>
      <c r="H8" s="270"/>
      <c r="I8" s="268"/>
      <c r="J8" s="1251"/>
      <c r="K8" s="1251"/>
      <c r="L8" s="1251"/>
      <c r="M8" s="177"/>
      <c r="N8" s="177"/>
      <c r="O8" s="177"/>
      <c r="P8" s="177"/>
      <c r="Q8" s="177"/>
    </row>
    <row r="9" spans="1:20" x14ac:dyDescent="0.25">
      <c r="A9" s="174"/>
      <c r="B9" s="50"/>
      <c r="C9" s="53"/>
      <c r="E9" s="253"/>
      <c r="F9" s="265"/>
      <c r="G9" s="269"/>
      <c r="H9" s="269"/>
      <c r="I9" s="263"/>
      <c r="J9" s="1252"/>
      <c r="K9" s="1252"/>
      <c r="L9" s="1252"/>
      <c r="M9" s="177"/>
      <c r="N9" s="177"/>
      <c r="O9" s="177"/>
      <c r="P9" s="177"/>
      <c r="Q9" s="177"/>
    </row>
    <row r="10" spans="1:20" ht="15" customHeight="1" x14ac:dyDescent="0.25">
      <c r="A10" s="174"/>
      <c r="B10" s="50"/>
      <c r="C10" s="377" t="s">
        <v>239</v>
      </c>
      <c r="D10" s="62"/>
      <c r="E10" s="62">
        <f>'1.1'!F41</f>
        <v>75000</v>
      </c>
      <c r="F10" s="987">
        <f>'1.1'!G41</f>
        <v>252500</v>
      </c>
      <c r="G10" s="987">
        <f>'1.1'!H41</f>
        <v>252500</v>
      </c>
      <c r="H10" s="987"/>
      <c r="J10" s="267"/>
      <c r="K10" s="267"/>
      <c r="L10" s="266"/>
      <c r="M10" s="177"/>
      <c r="N10" s="177"/>
      <c r="O10" s="177"/>
      <c r="P10" s="177"/>
      <c r="Q10" s="177"/>
    </row>
    <row r="11" spans="1:20" x14ac:dyDescent="0.25">
      <c r="A11" s="174"/>
      <c r="B11" s="50"/>
      <c r="C11" s="377" t="s">
        <v>240</v>
      </c>
      <c r="D11" s="62"/>
      <c r="E11" s="987">
        <f>'1.1'!F42</f>
        <v>237500</v>
      </c>
      <c r="F11" s="987">
        <f>'1.1'!G42</f>
        <v>415000</v>
      </c>
      <c r="G11" s="987">
        <f>'1.1'!H42</f>
        <v>415000</v>
      </c>
      <c r="H11" s="987"/>
      <c r="J11" s="266"/>
      <c r="K11" s="27"/>
      <c r="L11" s="46"/>
      <c r="M11" s="177"/>
      <c r="N11" s="177"/>
      <c r="O11" s="177"/>
      <c r="P11" s="177"/>
      <c r="Q11" s="177"/>
    </row>
    <row r="12" spans="1:20" x14ac:dyDescent="0.25">
      <c r="A12" s="174"/>
      <c r="B12" s="50"/>
      <c r="C12" s="377" t="s">
        <v>236</v>
      </c>
      <c r="D12" s="62"/>
      <c r="E12" s="987">
        <f>'1.1'!F43</f>
        <v>30000</v>
      </c>
      <c r="F12" s="987">
        <f>'1.1'!G43</f>
        <v>120000</v>
      </c>
      <c r="G12" s="987">
        <f>'1.1'!H43</f>
        <v>120000</v>
      </c>
      <c r="H12" s="987"/>
      <c r="J12" s="266"/>
      <c r="K12" s="27"/>
      <c r="L12" s="46"/>
      <c r="M12" s="177"/>
      <c r="N12" s="177"/>
      <c r="O12" s="177"/>
      <c r="P12" s="177"/>
      <c r="Q12" s="177"/>
    </row>
    <row r="13" spans="1:20" s="367" customFormat="1" x14ac:dyDescent="0.25">
      <c r="A13" s="371"/>
      <c r="B13" s="376"/>
      <c r="C13" s="377" t="s">
        <v>241</v>
      </c>
      <c r="D13" s="369"/>
      <c r="E13" s="987">
        <f>'1.1'!F44</f>
        <v>80000</v>
      </c>
      <c r="F13" s="987">
        <f>'1.1'!G44</f>
        <v>145000</v>
      </c>
      <c r="G13" s="987">
        <f>'1.1'!H44</f>
        <v>145000</v>
      </c>
      <c r="H13" s="987"/>
      <c r="J13" s="357"/>
      <c r="K13" s="375"/>
      <c r="L13" s="374"/>
      <c r="M13" s="373"/>
      <c r="N13" s="373"/>
      <c r="O13" s="373"/>
      <c r="P13" s="373"/>
      <c r="Q13" s="373"/>
    </row>
    <row r="14" spans="1:20" x14ac:dyDescent="0.25">
      <c r="A14" s="174"/>
      <c r="B14" s="50"/>
      <c r="C14" s="377" t="s">
        <v>242</v>
      </c>
      <c r="D14" s="62"/>
      <c r="E14" s="987">
        <f>'1.1'!F45</f>
        <v>42500</v>
      </c>
      <c r="F14" s="987">
        <f>'1.1'!G45</f>
        <v>62500</v>
      </c>
      <c r="G14" s="987">
        <f>'1.1'!H45</f>
        <v>62500</v>
      </c>
      <c r="H14" s="987"/>
      <c r="J14" s="266"/>
      <c r="K14" s="27"/>
      <c r="L14" s="46"/>
      <c r="M14" s="177"/>
      <c r="N14" s="177"/>
      <c r="O14" s="177"/>
      <c r="P14" s="177"/>
      <c r="Q14" s="177"/>
    </row>
    <row r="15" spans="1:20" s="923" customFormat="1" x14ac:dyDescent="0.25">
      <c r="A15" s="925"/>
      <c r="B15" s="376"/>
      <c r="C15" s="377" t="str">
        <f>'1.1'!C46</f>
        <v>Ecosystem Effects Seabird</v>
      </c>
      <c r="D15" s="878"/>
      <c r="E15" s="987">
        <f>'1.1'!F46</f>
        <v>0</v>
      </c>
      <c r="F15" s="987">
        <f>'1.1'!G46</f>
        <v>350000</v>
      </c>
      <c r="G15" s="987">
        <f>'1.1'!H46</f>
        <v>250000</v>
      </c>
      <c r="H15" s="987"/>
      <c r="J15" s="357"/>
      <c r="K15" s="402"/>
      <c r="L15" s="482"/>
      <c r="M15" s="883"/>
      <c r="N15" s="883"/>
      <c r="O15" s="883"/>
      <c r="P15" s="883"/>
      <c r="Q15" s="883"/>
    </row>
    <row r="16" spans="1:20" s="923" customFormat="1" x14ac:dyDescent="0.25">
      <c r="A16" s="925"/>
      <c r="B16" s="376"/>
      <c r="C16" s="377" t="str">
        <f>'1.1'!C47</f>
        <v>Ecosystem Effects Marine Mammals &amp; Turtles</v>
      </c>
      <c r="D16" s="878"/>
      <c r="E16" s="987">
        <f>'1.1'!F47</f>
        <v>0</v>
      </c>
      <c r="F16" s="987">
        <f>'1.1'!G47</f>
        <v>350000</v>
      </c>
      <c r="G16" s="987">
        <f>'1.1'!H47</f>
        <v>250000</v>
      </c>
      <c r="H16" s="987"/>
      <c r="J16" s="357"/>
      <c r="K16" s="402"/>
      <c r="L16" s="482"/>
      <c r="M16" s="883"/>
      <c r="N16" s="883"/>
      <c r="O16" s="883"/>
      <c r="P16" s="883"/>
      <c r="Q16" s="883"/>
    </row>
    <row r="17" spans="1:20" s="923" customFormat="1" x14ac:dyDescent="0.25">
      <c r="A17" s="925"/>
      <c r="B17" s="376"/>
      <c r="C17" s="377" t="str">
        <f>'1.1'!C48</f>
        <v>Ecosystem Effects Fish</v>
      </c>
      <c r="D17" s="878"/>
      <c r="E17" s="987">
        <f>'1.1'!F48</f>
        <v>0</v>
      </c>
      <c r="F17" s="987">
        <f>'1.1'!G48</f>
        <v>350000</v>
      </c>
      <c r="G17" s="987">
        <f>'1.1'!H48</f>
        <v>250000</v>
      </c>
      <c r="H17" s="987"/>
      <c r="J17" s="357"/>
      <c r="K17" s="402"/>
      <c r="L17" s="482"/>
      <c r="M17" s="883"/>
      <c r="N17" s="883"/>
      <c r="O17" s="883"/>
      <c r="P17" s="883"/>
      <c r="Q17" s="883"/>
    </row>
    <row r="18" spans="1:20" s="923" customFormat="1" x14ac:dyDescent="0.25">
      <c r="A18" s="925"/>
      <c r="B18" s="376"/>
      <c r="C18" s="377" t="str">
        <f>'1.1'!C49</f>
        <v>Acoustic Effects on Human Uses</v>
      </c>
      <c r="D18" s="878"/>
      <c r="E18" s="987">
        <f>'1.1'!F49</f>
        <v>0</v>
      </c>
      <c r="F18" s="987">
        <f>'1.1'!G49</f>
        <v>0</v>
      </c>
      <c r="G18" s="987">
        <f>'1.1'!H49</f>
        <v>0</v>
      </c>
      <c r="H18" s="987"/>
      <c r="J18" s="357"/>
      <c r="K18" s="402"/>
      <c r="L18" s="482"/>
      <c r="M18" s="883"/>
      <c r="N18" s="883"/>
      <c r="O18" s="883"/>
      <c r="P18" s="883"/>
      <c r="Q18" s="883"/>
    </row>
    <row r="19" spans="1:20" s="253" customFormat="1" x14ac:dyDescent="0.25">
      <c r="A19" s="174"/>
      <c r="B19" s="50"/>
      <c r="C19" s="377" t="str">
        <f>'1.1'!C50</f>
        <v>Navigation</v>
      </c>
      <c r="D19" s="62"/>
      <c r="E19" s="987">
        <f>'1.1'!F50</f>
        <v>0</v>
      </c>
      <c r="F19" s="987">
        <f>'1.1'!G50</f>
        <v>40000</v>
      </c>
      <c r="G19" s="987">
        <f>'1.1'!H50</f>
        <v>40000</v>
      </c>
      <c r="H19" s="987"/>
      <c r="J19" s="266"/>
      <c r="K19" s="27"/>
      <c r="L19" s="46"/>
      <c r="M19" s="177"/>
      <c r="N19" s="177"/>
      <c r="O19" s="177"/>
      <c r="P19" s="177"/>
      <c r="Q19" s="177"/>
    </row>
    <row r="20" spans="1:20" s="923" customFormat="1" x14ac:dyDescent="0.25">
      <c r="A20" s="925"/>
      <c r="B20" s="376"/>
      <c r="C20" s="377"/>
      <c r="D20" s="878"/>
      <c r="E20" s="987"/>
      <c r="F20" s="987"/>
      <c r="G20" s="987"/>
      <c r="H20" s="357"/>
      <c r="I20" s="357"/>
      <c r="J20" s="357"/>
      <c r="K20" s="402"/>
      <c r="L20" s="482"/>
      <c r="M20" s="883"/>
      <c r="N20" s="883"/>
      <c r="O20" s="883"/>
      <c r="P20" s="883"/>
      <c r="Q20" s="883"/>
    </row>
    <row r="21" spans="1:20" s="253" customFormat="1" ht="15.75" x14ac:dyDescent="0.25">
      <c r="A21" s="174"/>
      <c r="B21" s="50"/>
      <c r="C21" s="264"/>
      <c r="D21" s="62"/>
      <c r="E21" s="62"/>
      <c r="F21" s="265"/>
      <c r="G21" s="267"/>
      <c r="H21" s="266"/>
      <c r="I21" s="266"/>
      <c r="J21" s="266"/>
      <c r="K21" s="27"/>
      <c r="L21" s="46"/>
      <c r="M21" s="177"/>
      <c r="N21" s="177"/>
      <c r="O21" s="177"/>
      <c r="P21" s="177"/>
      <c r="Q21" s="177"/>
    </row>
    <row r="22" spans="1:20" s="253" customFormat="1" x14ac:dyDescent="0.25">
      <c r="A22" s="174"/>
      <c r="B22" s="36"/>
      <c r="C22" s="276" t="s">
        <v>80</v>
      </c>
      <c r="D22" s="170"/>
      <c r="E22" s="170">
        <f>SUM(E10:E19)</f>
        <v>465000</v>
      </c>
      <c r="F22" s="1001">
        <f t="shared" ref="F22:G22" si="0">SUM(F10:F19)</f>
        <v>2085000</v>
      </c>
      <c r="G22" s="1001">
        <f t="shared" si="0"/>
        <v>1785000</v>
      </c>
      <c r="H22" s="27"/>
      <c r="I22" s="27"/>
      <c r="J22" s="27"/>
      <c r="K22" s="27"/>
      <c r="L22" s="46"/>
      <c r="M22" s="177"/>
      <c r="N22" s="177"/>
      <c r="O22" s="177"/>
      <c r="P22" s="177"/>
      <c r="Q22" s="177"/>
    </row>
    <row r="23" spans="1:20" s="253" customFormat="1" x14ac:dyDescent="0.25">
      <c r="A23" s="174"/>
      <c r="B23" s="36"/>
      <c r="C23" s="51"/>
      <c r="E23" s="265"/>
      <c r="F23" s="265"/>
      <c r="G23" s="343"/>
      <c r="H23" s="265"/>
      <c r="I23" s="27"/>
      <c r="J23" s="27"/>
      <c r="K23" s="27"/>
      <c r="L23" s="27"/>
      <c r="M23" s="27"/>
      <c r="N23" s="27"/>
      <c r="O23" s="46"/>
      <c r="P23" s="177"/>
      <c r="Q23" s="177"/>
      <c r="R23" s="177"/>
      <c r="S23" s="177"/>
      <c r="T23" s="177"/>
    </row>
    <row r="24" spans="1:20" x14ac:dyDescent="0.25">
      <c r="A24" s="174" t="s">
        <v>148</v>
      </c>
      <c r="B24" s="253"/>
      <c r="C24" s="253"/>
      <c r="H24" s="177"/>
      <c r="I24" s="177"/>
      <c r="J24" s="177"/>
      <c r="K24" s="177"/>
      <c r="L24" s="177"/>
      <c r="M24" s="177"/>
      <c r="N24" s="177"/>
      <c r="O24" s="177"/>
      <c r="P24" s="177"/>
      <c r="Q24" s="177"/>
      <c r="R24" s="177"/>
      <c r="S24" s="177"/>
      <c r="T24" s="177"/>
    </row>
    <row r="25" spans="1:20" x14ac:dyDescent="0.25">
      <c r="A25" s="253"/>
      <c r="B25" s="36">
        <v>2.2000000000000002</v>
      </c>
      <c r="C25" s="211" t="s">
        <v>961</v>
      </c>
      <c r="H25" s="177"/>
      <c r="I25" s="177"/>
      <c r="J25" s="177"/>
      <c r="K25" s="177"/>
      <c r="L25" s="177"/>
      <c r="M25" s="177"/>
      <c r="N25" s="177"/>
      <c r="O25" s="177"/>
      <c r="P25" s="177"/>
      <c r="Q25" s="177"/>
      <c r="R25" s="177"/>
      <c r="S25" s="177"/>
      <c r="T25" s="177"/>
    </row>
    <row r="26" spans="1:20" s="253" customFormat="1" x14ac:dyDescent="0.25"/>
    <row r="27" spans="1:20" x14ac:dyDescent="0.25">
      <c r="A27" s="174" t="s">
        <v>212</v>
      </c>
      <c r="B27" s="253"/>
      <c r="C27" s="253"/>
    </row>
    <row r="28" spans="1:20" x14ac:dyDescent="0.25">
      <c r="B28" s="36">
        <v>2.2000000000000002</v>
      </c>
      <c r="C28" s="253" t="s">
        <v>874</v>
      </c>
    </row>
    <row r="29" spans="1:20" x14ac:dyDescent="0.25">
      <c r="C29" t="s">
        <v>875</v>
      </c>
    </row>
    <row r="30" spans="1:20" ht="14.45" x14ac:dyDescent="0.3">
      <c r="C30" t="s">
        <v>876</v>
      </c>
    </row>
  </sheetData>
  <mergeCells count="2">
    <mergeCell ref="J8:L8"/>
    <mergeCell ref="J9:L9"/>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I81"/>
  <sheetViews>
    <sheetView zoomScale="80" zoomScaleNormal="80" zoomScalePageLayoutView="70" workbookViewId="0">
      <selection activeCell="D66" sqref="D66"/>
    </sheetView>
  </sheetViews>
  <sheetFormatPr defaultColWidth="8.85546875" defaultRowHeight="15" x14ac:dyDescent="0.25"/>
  <cols>
    <col min="1" max="1" width="5.140625" customWidth="1"/>
    <col min="2" max="2" width="3.7109375" style="478" customWidth="1"/>
    <col min="3" max="3" width="37.42578125" customWidth="1"/>
    <col min="4" max="4" width="31.7109375" customWidth="1"/>
    <col min="5" max="5" width="18" bestFit="1" customWidth="1"/>
    <col min="6" max="7" width="14.42578125" customWidth="1"/>
    <col min="8" max="8" width="17.140625" customWidth="1"/>
    <col min="9" max="9" width="20.140625" customWidth="1"/>
    <col min="12" max="12" width="17.28515625" customWidth="1"/>
    <col min="13" max="13" width="25.7109375" customWidth="1"/>
    <col min="14" max="14" width="22.28515625" customWidth="1"/>
  </cols>
  <sheetData>
    <row r="1" spans="1:9" s="478" customFormat="1" x14ac:dyDescent="0.25">
      <c r="A1" s="427" t="s">
        <v>371</v>
      </c>
      <c r="B1" s="427"/>
    </row>
    <row r="2" spans="1:9" s="56" customFormat="1" x14ac:dyDescent="0.25">
      <c r="B2" s="478"/>
    </row>
    <row r="3" spans="1:9" s="56" customFormat="1" x14ac:dyDescent="0.25">
      <c r="A3" s="57" t="s">
        <v>109</v>
      </c>
      <c r="B3" s="427"/>
    </row>
    <row r="4" spans="1:9" s="56" customFormat="1" x14ac:dyDescent="0.25">
      <c r="B4" s="478"/>
      <c r="E4" s="56" t="s">
        <v>65</v>
      </c>
      <c r="F4" s="56">
        <v>1</v>
      </c>
      <c r="G4" s="56">
        <v>10</v>
      </c>
      <c r="H4" s="56">
        <v>50</v>
      </c>
      <c r="I4" s="56">
        <v>100</v>
      </c>
    </row>
    <row r="5" spans="1:9" x14ac:dyDescent="0.25">
      <c r="C5">
        <v>2.2999999999999998</v>
      </c>
      <c r="D5" t="s">
        <v>53</v>
      </c>
      <c r="F5" s="39">
        <f>D73</f>
        <v>75785</v>
      </c>
      <c r="G5" s="464">
        <f t="shared" ref="G5:I5" si="0">E73</f>
        <v>757850</v>
      </c>
      <c r="H5" s="464">
        <f t="shared" si="0"/>
        <v>617700</v>
      </c>
      <c r="I5" s="464">
        <f t="shared" si="0"/>
        <v>1235400</v>
      </c>
    </row>
    <row r="6" spans="1:9" s="478" customFormat="1" x14ac:dyDescent="0.25">
      <c r="F6" s="464"/>
      <c r="G6" s="464"/>
      <c r="H6" s="464"/>
      <c r="I6" s="464"/>
    </row>
    <row r="8" spans="1:9" s="478" customFormat="1" x14ac:dyDescent="0.25">
      <c r="A8" s="427"/>
      <c r="B8" s="427"/>
    </row>
    <row r="9" spans="1:9" s="478" customFormat="1" x14ac:dyDescent="0.25">
      <c r="A9" s="427" t="s">
        <v>403</v>
      </c>
      <c r="B9" s="427"/>
    </row>
    <row r="10" spans="1:9" s="478" customFormat="1" x14ac:dyDescent="0.25">
      <c r="D10" s="407"/>
    </row>
    <row r="11" spans="1:9" s="478" customFormat="1" x14ac:dyDescent="0.25">
      <c r="C11" s="478" t="s">
        <v>399</v>
      </c>
      <c r="D11" s="80">
        <f>8000</f>
        <v>8000</v>
      </c>
      <c r="E11" s="745"/>
    </row>
    <row r="12" spans="1:9" s="478" customFormat="1" x14ac:dyDescent="0.25">
      <c r="C12" s="478" t="s">
        <v>400</v>
      </c>
      <c r="D12" s="80">
        <v>3000</v>
      </c>
    </row>
    <row r="13" spans="1:9" s="478" customFormat="1" x14ac:dyDescent="0.25">
      <c r="C13" s="478" t="s">
        <v>401</v>
      </c>
      <c r="D13" s="80">
        <v>3000</v>
      </c>
    </row>
    <row r="14" spans="1:9" s="478" customFormat="1" x14ac:dyDescent="0.25">
      <c r="C14" s="478" t="s">
        <v>376</v>
      </c>
      <c r="D14" s="80">
        <v>800</v>
      </c>
    </row>
    <row r="15" spans="1:9" s="478" customFormat="1" x14ac:dyDescent="0.25">
      <c r="C15" s="478" t="s">
        <v>402</v>
      </c>
      <c r="D15" s="80">
        <f>1500</f>
        <v>1500</v>
      </c>
    </row>
    <row r="16" spans="1:9" s="478" customFormat="1" x14ac:dyDescent="0.25">
      <c r="D16" s="80"/>
    </row>
    <row r="17" spans="1:5" s="478" customFormat="1" x14ac:dyDescent="0.25">
      <c r="C17" s="288" t="s">
        <v>80</v>
      </c>
      <c r="D17" s="579">
        <f>SUM(D11:D15)</f>
        <v>16300</v>
      </c>
      <c r="E17" s="478" t="s">
        <v>912</v>
      </c>
    </row>
    <row r="18" spans="1:5" s="478" customFormat="1" x14ac:dyDescent="0.25">
      <c r="D18" s="407"/>
    </row>
    <row r="19" spans="1:5" s="478" customFormat="1" ht="17.25" customHeight="1" x14ac:dyDescent="0.25">
      <c r="A19" s="427" t="s">
        <v>404</v>
      </c>
      <c r="B19" s="427"/>
      <c r="D19" s="407"/>
    </row>
    <row r="20" spans="1:5" s="478" customFormat="1" x14ac:dyDescent="0.25">
      <c r="D20" s="407"/>
    </row>
    <row r="21" spans="1:5" s="478" customFormat="1" x14ac:dyDescent="0.25">
      <c r="C21" s="478" t="s">
        <v>399</v>
      </c>
      <c r="D21" s="80">
        <v>8000</v>
      </c>
    </row>
    <row r="22" spans="1:5" s="478" customFormat="1" x14ac:dyDescent="0.25">
      <c r="C22" s="478" t="s">
        <v>400</v>
      </c>
      <c r="D22" s="80">
        <v>3000</v>
      </c>
    </row>
    <row r="23" spans="1:5" s="478" customFormat="1" x14ac:dyDescent="0.25">
      <c r="C23" s="478" t="s">
        <v>376</v>
      </c>
      <c r="D23" s="80">
        <v>800</v>
      </c>
    </row>
    <row r="24" spans="1:5" s="478" customFormat="1" x14ac:dyDescent="0.25">
      <c r="C24" s="478" t="s">
        <v>402</v>
      </c>
      <c r="D24" s="80">
        <v>1000</v>
      </c>
    </row>
    <row r="25" spans="1:5" s="478" customFormat="1" x14ac:dyDescent="0.25">
      <c r="D25" s="80"/>
    </row>
    <row r="26" spans="1:5" s="478" customFormat="1" x14ac:dyDescent="0.25">
      <c r="C26" s="288" t="s">
        <v>80</v>
      </c>
      <c r="D26" s="579">
        <f>SUM(D21:D24)*3</f>
        <v>38400</v>
      </c>
      <c r="E26" s="478" t="s">
        <v>913</v>
      </c>
    </row>
    <row r="27" spans="1:5" s="478" customFormat="1" ht="14.45" x14ac:dyDescent="0.3">
      <c r="A27" s="427"/>
      <c r="B27" s="427"/>
    </row>
    <row r="28" spans="1:5" s="478" customFormat="1" ht="14.45" x14ac:dyDescent="0.3">
      <c r="A28" s="427" t="s">
        <v>405</v>
      </c>
      <c r="B28" s="427"/>
    </row>
    <row r="29" spans="1:5" s="478" customFormat="1" ht="14.45" x14ac:dyDescent="0.3">
      <c r="A29" s="427"/>
      <c r="B29" s="427"/>
      <c r="C29" s="478" t="s">
        <v>406</v>
      </c>
      <c r="D29" s="478">
        <v>10</v>
      </c>
    </row>
    <row r="30" spans="1:5" s="478" customFormat="1" ht="14.45" x14ac:dyDescent="0.3">
      <c r="A30" s="427"/>
      <c r="B30" s="427"/>
      <c r="C30" s="478" t="s">
        <v>407</v>
      </c>
      <c r="D30" s="506">
        <v>30</v>
      </c>
    </row>
    <row r="31" spans="1:5" s="478" customFormat="1" ht="14.45" x14ac:dyDescent="0.3">
      <c r="A31" s="427"/>
      <c r="B31" s="427"/>
      <c r="C31" s="478" t="s">
        <v>408</v>
      </c>
      <c r="D31" s="478">
        <v>12</v>
      </c>
    </row>
    <row r="32" spans="1:5" s="478" customFormat="1" ht="14.45" x14ac:dyDescent="0.3">
      <c r="A32" s="427"/>
      <c r="B32" s="427"/>
      <c r="C32" s="478" t="s">
        <v>423</v>
      </c>
      <c r="D32" s="372">
        <v>0.3</v>
      </c>
    </row>
    <row r="33" spans="1:5" s="478" customFormat="1" ht="14.45" x14ac:dyDescent="0.3">
      <c r="A33" s="427"/>
      <c r="B33" s="427"/>
      <c r="C33" s="478" t="s">
        <v>409</v>
      </c>
      <c r="D33" s="401">
        <f>D29*D30*D31*(1+D32)</f>
        <v>4680</v>
      </c>
    </row>
    <row r="34" spans="1:5" s="478" customFormat="1" ht="14.45" x14ac:dyDescent="0.3">
      <c r="A34" s="427"/>
      <c r="B34" s="427"/>
      <c r="C34" s="478" t="s">
        <v>402</v>
      </c>
      <c r="D34" s="401">
        <v>1000</v>
      </c>
    </row>
    <row r="35" spans="1:5" s="478" customFormat="1" ht="14.45" x14ac:dyDescent="0.3">
      <c r="A35" s="427"/>
      <c r="B35" s="427"/>
    </row>
    <row r="36" spans="1:5" s="478" customFormat="1" ht="14.45" x14ac:dyDescent="0.3">
      <c r="A36" s="427"/>
      <c r="B36" s="427"/>
      <c r="C36" s="288" t="s">
        <v>80</v>
      </c>
      <c r="D36" s="170">
        <f>D34+D33</f>
        <v>5680</v>
      </c>
    </row>
    <row r="37" spans="1:5" s="478" customFormat="1" ht="14.45" x14ac:dyDescent="0.3">
      <c r="A37" s="427"/>
      <c r="B37" s="427"/>
      <c r="C37" s="479"/>
      <c r="D37" s="580"/>
    </row>
    <row r="38" spans="1:5" s="478" customFormat="1" ht="14.45" x14ac:dyDescent="0.3">
      <c r="A38" s="78" t="s">
        <v>718</v>
      </c>
      <c r="B38" s="78"/>
      <c r="C38" s="481"/>
      <c r="D38" s="759" t="s">
        <v>421</v>
      </c>
      <c r="E38" s="91"/>
    </row>
    <row r="39" spans="1:5" s="478" customFormat="1" ht="14.45" x14ac:dyDescent="0.3">
      <c r="A39" s="78"/>
      <c r="B39" s="78" t="s">
        <v>37</v>
      </c>
      <c r="C39" s="461"/>
      <c r="D39" s="760"/>
    </row>
    <row r="40" spans="1:5" s="478" customFormat="1" ht="14.45" x14ac:dyDescent="0.3">
      <c r="A40" s="78"/>
      <c r="B40" s="78"/>
      <c r="C40" s="481" t="s">
        <v>914</v>
      </c>
      <c r="D40" s="761">
        <f>'2.5'!H13</f>
        <v>0.125</v>
      </c>
      <c r="E40" s="478" t="s">
        <v>916</v>
      </c>
    </row>
    <row r="41" spans="1:5" s="478" customFormat="1" ht="14.45" x14ac:dyDescent="0.3">
      <c r="A41" s="78"/>
      <c r="B41" s="78"/>
      <c r="C41" s="481" t="s">
        <v>293</v>
      </c>
      <c r="D41" s="761">
        <v>0.2</v>
      </c>
      <c r="E41" s="923" t="s">
        <v>916</v>
      </c>
    </row>
    <row r="42" spans="1:5" s="478" customFormat="1" ht="14.45" x14ac:dyDescent="0.3">
      <c r="A42" s="78"/>
      <c r="B42" s="78"/>
      <c r="C42" s="481" t="s">
        <v>33</v>
      </c>
      <c r="D42" s="761">
        <v>0.1</v>
      </c>
      <c r="E42" s="923" t="s">
        <v>916</v>
      </c>
    </row>
    <row r="43" spans="1:5" s="478" customFormat="1" ht="14.45" x14ac:dyDescent="0.3">
      <c r="A43" s="78"/>
      <c r="B43" s="78"/>
      <c r="C43" s="884" t="s">
        <v>38</v>
      </c>
      <c r="D43" s="761">
        <v>0.13</v>
      </c>
      <c r="E43" s="923" t="s">
        <v>916</v>
      </c>
    </row>
    <row r="44" spans="1:5" s="478" customFormat="1" ht="14.45" x14ac:dyDescent="0.3">
      <c r="A44" s="78"/>
      <c r="B44" s="78"/>
      <c r="C44" s="481" t="s">
        <v>40</v>
      </c>
      <c r="D44" s="761">
        <v>7.0000000000000007E-2</v>
      </c>
      <c r="E44" s="923" t="s">
        <v>916</v>
      </c>
    </row>
    <row r="45" spans="1:5" s="745" customFormat="1" ht="14.45" x14ac:dyDescent="0.3">
      <c r="A45" s="78"/>
      <c r="B45" s="78"/>
      <c r="C45" s="884" t="s">
        <v>915</v>
      </c>
      <c r="D45" s="761">
        <v>0.2</v>
      </c>
      <c r="E45" s="745" t="s">
        <v>917</v>
      </c>
    </row>
    <row r="46" spans="1:5" s="478" customFormat="1" ht="14.45" x14ac:dyDescent="0.3">
      <c r="A46" s="78"/>
      <c r="B46" s="78"/>
      <c r="C46" s="481"/>
      <c r="D46" s="760"/>
    </row>
    <row r="47" spans="1:5" s="478" customFormat="1" ht="14.45" x14ac:dyDescent="0.3">
      <c r="A47" s="78"/>
      <c r="B47" s="103" t="s">
        <v>80</v>
      </c>
      <c r="C47" s="103"/>
      <c r="D47" s="762">
        <f>SUM(D40:D45)</f>
        <v>0.82499999999999996</v>
      </c>
    </row>
    <row r="48" spans="1:5" s="478" customFormat="1" ht="14.45" x14ac:dyDescent="0.3">
      <c r="A48" s="427"/>
      <c r="B48" s="427"/>
      <c r="C48" s="479"/>
      <c r="D48" s="580"/>
    </row>
    <row r="49" spans="1:7" s="478" customFormat="1" ht="14.45" x14ac:dyDescent="0.3">
      <c r="A49" s="427" t="s">
        <v>417</v>
      </c>
    </row>
    <row r="50" spans="1:7" s="478" customFormat="1" ht="14.45" x14ac:dyDescent="0.3">
      <c r="B50" s="478" t="s">
        <v>411</v>
      </c>
      <c r="D50" s="478">
        <v>0.1</v>
      </c>
    </row>
    <row r="51" spans="1:7" s="478" customFormat="1" ht="14.45" x14ac:dyDescent="0.3">
      <c r="B51" s="478" t="s">
        <v>412</v>
      </c>
      <c r="D51" s="478">
        <v>0.25</v>
      </c>
    </row>
    <row r="52" spans="1:7" s="478" customFormat="1" ht="14.45" x14ac:dyDescent="0.3"/>
    <row r="53" spans="1:7" s="478" customFormat="1" ht="14.45" x14ac:dyDescent="0.3">
      <c r="B53" s="478" t="s">
        <v>80</v>
      </c>
      <c r="D53" s="478">
        <f>D50+D51</f>
        <v>0.35</v>
      </c>
    </row>
    <row r="54" spans="1:7" s="478" customFormat="1" ht="14.45" x14ac:dyDescent="0.3"/>
    <row r="55" spans="1:7" s="478" customFormat="1" x14ac:dyDescent="0.25">
      <c r="D55" s="478" t="s">
        <v>97</v>
      </c>
      <c r="E55" s="478" t="s">
        <v>87</v>
      </c>
      <c r="F55" s="478" t="s">
        <v>88</v>
      </c>
      <c r="G55" s="478" t="s">
        <v>89</v>
      </c>
    </row>
    <row r="56" spans="1:7" s="478" customFormat="1" x14ac:dyDescent="0.25">
      <c r="B56" s="478" t="s">
        <v>413</v>
      </c>
      <c r="D56" s="478">
        <f>D53*1</f>
        <v>0.35</v>
      </c>
      <c r="E56" s="478">
        <f>D56*10</f>
        <v>3.5</v>
      </c>
      <c r="F56" s="478">
        <f>D56*50</f>
        <v>17.5</v>
      </c>
      <c r="G56" s="478">
        <f>D56*100</f>
        <v>35</v>
      </c>
    </row>
    <row r="57" spans="1:7" s="478" customFormat="1" x14ac:dyDescent="0.25">
      <c r="B57" s="478" t="s">
        <v>398</v>
      </c>
      <c r="D57" s="464">
        <f>D17</f>
        <v>16300</v>
      </c>
      <c r="E57" s="464">
        <f>D17</f>
        <v>16300</v>
      </c>
      <c r="F57" s="464">
        <f>D36</f>
        <v>5680</v>
      </c>
      <c r="G57" s="464">
        <f t="shared" ref="G57" si="1">F57</f>
        <v>5680</v>
      </c>
    </row>
    <row r="58" spans="1:7" s="478" customFormat="1" x14ac:dyDescent="0.25">
      <c r="B58" s="478" t="s">
        <v>414</v>
      </c>
      <c r="D58" s="464">
        <f>D57*D56</f>
        <v>5705</v>
      </c>
      <c r="E58" s="464">
        <f t="shared" ref="E58:G58" si="2">E57*E56</f>
        <v>57050</v>
      </c>
      <c r="F58" s="464">
        <f t="shared" si="2"/>
        <v>99400</v>
      </c>
      <c r="G58" s="464">
        <f t="shared" si="2"/>
        <v>198800</v>
      </c>
    </row>
    <row r="59" spans="1:7" s="478" customFormat="1" x14ac:dyDescent="0.25"/>
    <row r="60" spans="1:7" s="478" customFormat="1" x14ac:dyDescent="0.25">
      <c r="A60" s="427" t="s">
        <v>418</v>
      </c>
    </row>
    <row r="61" spans="1:7" s="478" customFormat="1" x14ac:dyDescent="0.25">
      <c r="B61" s="945" t="s">
        <v>918</v>
      </c>
      <c r="D61" s="478">
        <v>1</v>
      </c>
      <c r="E61" s="478" t="s">
        <v>916</v>
      </c>
    </row>
    <row r="62" spans="1:7" s="478" customFormat="1" x14ac:dyDescent="0.25">
      <c r="B62" s="945" t="s">
        <v>410</v>
      </c>
      <c r="D62" s="478">
        <v>0.5</v>
      </c>
      <c r="E62" s="945" t="s">
        <v>916</v>
      </c>
    </row>
    <row r="63" spans="1:7" s="478" customFormat="1" x14ac:dyDescent="0.25">
      <c r="B63" s="945" t="s">
        <v>919</v>
      </c>
      <c r="D63" s="478">
        <v>2</v>
      </c>
      <c r="E63" s="945" t="s">
        <v>916</v>
      </c>
    </row>
    <row r="64" spans="1:7" s="478" customFormat="1" x14ac:dyDescent="0.25">
      <c r="B64" s="478" t="s">
        <v>419</v>
      </c>
      <c r="D64" s="581">
        <f>D47</f>
        <v>0.82499999999999996</v>
      </c>
    </row>
    <row r="65" spans="1:7" s="478" customFormat="1" x14ac:dyDescent="0.25"/>
    <row r="66" spans="1:7" s="478" customFormat="1" x14ac:dyDescent="0.25">
      <c r="B66" s="478" t="s">
        <v>80</v>
      </c>
      <c r="D66" s="248">
        <f>D61/D63+D62+D64</f>
        <v>1.825</v>
      </c>
    </row>
    <row r="67" spans="1:7" s="478" customFormat="1" x14ac:dyDescent="0.25"/>
    <row r="68" spans="1:7" s="478" customFormat="1" x14ac:dyDescent="0.25">
      <c r="D68" s="478" t="s">
        <v>97</v>
      </c>
      <c r="E68" s="478" t="s">
        <v>87</v>
      </c>
      <c r="F68" s="478" t="s">
        <v>88</v>
      </c>
      <c r="G68" s="478" t="s">
        <v>89</v>
      </c>
    </row>
    <row r="69" spans="1:7" s="478" customFormat="1" x14ac:dyDescent="0.25">
      <c r="B69" s="478" t="s">
        <v>416</v>
      </c>
      <c r="D69" s="248">
        <f>D66</f>
        <v>1.825</v>
      </c>
      <c r="E69" s="478">
        <f>D69*10</f>
        <v>18.25</v>
      </c>
      <c r="F69" s="478">
        <f>E69*5</f>
        <v>91.25</v>
      </c>
      <c r="G69" s="478">
        <f>F69*2</f>
        <v>182.5</v>
      </c>
    </row>
    <row r="70" spans="1:7" s="478" customFormat="1" x14ac:dyDescent="0.25">
      <c r="B70" s="478" t="s">
        <v>398</v>
      </c>
      <c r="D70" s="464">
        <f>D26</f>
        <v>38400</v>
      </c>
      <c r="E70" s="464">
        <f>D70</f>
        <v>38400</v>
      </c>
      <c r="F70" s="464">
        <f>D36</f>
        <v>5680</v>
      </c>
      <c r="G70" s="464">
        <f t="shared" ref="G70" si="3">F70</f>
        <v>5680</v>
      </c>
    </row>
    <row r="71" spans="1:7" s="478" customFormat="1" x14ac:dyDescent="0.25">
      <c r="B71" s="478" t="s">
        <v>414</v>
      </c>
      <c r="D71" s="464">
        <f>D70*D69</f>
        <v>70080</v>
      </c>
      <c r="E71" s="464">
        <f t="shared" ref="E71:G71" si="4">E70*E69</f>
        <v>700800</v>
      </c>
      <c r="F71" s="464">
        <f t="shared" si="4"/>
        <v>518300</v>
      </c>
      <c r="G71" s="464">
        <f t="shared" si="4"/>
        <v>1036600</v>
      </c>
    </row>
    <row r="72" spans="1:7" s="478" customFormat="1" x14ac:dyDescent="0.25">
      <c r="D72" s="464"/>
      <c r="E72" s="464"/>
      <c r="F72" s="464"/>
      <c r="G72" s="464"/>
    </row>
    <row r="73" spans="1:7" s="478" customFormat="1" x14ac:dyDescent="0.25">
      <c r="B73" s="288" t="s">
        <v>420</v>
      </c>
      <c r="C73" s="288"/>
      <c r="D73" s="291">
        <f>D71+D58</f>
        <v>75785</v>
      </c>
      <c r="E73" s="291">
        <f>E71+E58</f>
        <v>757850</v>
      </c>
      <c r="F73" s="291">
        <f>F71+F58</f>
        <v>617700</v>
      </c>
      <c r="G73" s="291">
        <f>G71+G58</f>
        <v>1235400</v>
      </c>
    </row>
    <row r="74" spans="1:7" s="478" customFormat="1" x14ac:dyDescent="0.25">
      <c r="D74" s="464"/>
      <c r="E74" s="464"/>
      <c r="F74" s="464"/>
      <c r="G74" s="464"/>
    </row>
    <row r="75" spans="1:7" s="478" customFormat="1" x14ac:dyDescent="0.25">
      <c r="D75" s="464"/>
      <c r="E75" s="464"/>
      <c r="F75" s="464"/>
      <c r="G75" s="464"/>
    </row>
    <row r="76" spans="1:7" s="478" customFormat="1" x14ac:dyDescent="0.25">
      <c r="A76" s="427" t="s">
        <v>148</v>
      </c>
      <c r="D76" s="464"/>
      <c r="E76" s="464"/>
      <c r="F76" s="464"/>
      <c r="G76" s="464"/>
    </row>
    <row r="77" spans="1:7" s="478" customFormat="1" x14ac:dyDescent="0.25">
      <c r="A77" s="478">
        <v>2.2999999999999998</v>
      </c>
      <c r="B77" s="478" t="s">
        <v>719</v>
      </c>
      <c r="D77" s="464"/>
      <c r="E77" s="464"/>
      <c r="F77" s="464"/>
      <c r="G77" s="464"/>
    </row>
    <row r="79" spans="1:7" s="478" customFormat="1" x14ac:dyDescent="0.25"/>
    <row r="80" spans="1:7" x14ac:dyDescent="0.25">
      <c r="A80" s="385" t="s">
        <v>212</v>
      </c>
      <c r="B80" s="427"/>
    </row>
    <row r="81" spans="1:2" x14ac:dyDescent="0.25">
      <c r="A81">
        <v>2.2999999999999998</v>
      </c>
      <c r="B81" s="478" t="s">
        <v>284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zoomScale="70" zoomScaleNormal="70" workbookViewId="0">
      <selection activeCell="B41" sqref="B41"/>
    </sheetView>
  </sheetViews>
  <sheetFormatPr defaultRowHeight="15" x14ac:dyDescent="0.25"/>
  <sheetData>
    <row r="2" spans="2:10" x14ac:dyDescent="0.25">
      <c r="B2" s="988" t="s">
        <v>1022</v>
      </c>
    </row>
    <row r="4" spans="2:10" x14ac:dyDescent="0.25">
      <c r="B4" s="1230" t="s">
        <v>1023</v>
      </c>
      <c r="C4" s="1230"/>
      <c r="D4" s="1230"/>
      <c r="E4" s="1230"/>
      <c r="F4" s="1230"/>
      <c r="G4" s="1230"/>
      <c r="H4" s="1230"/>
      <c r="I4" s="1230"/>
      <c r="J4" s="1230"/>
    </row>
    <row r="5" spans="2:10" x14ac:dyDescent="0.25">
      <c r="B5" s="1230"/>
      <c r="C5" s="1230"/>
      <c r="D5" s="1230"/>
      <c r="E5" s="1230"/>
      <c r="F5" s="1230"/>
      <c r="G5" s="1230"/>
      <c r="H5" s="1230"/>
      <c r="I5" s="1230"/>
      <c r="J5" s="1230"/>
    </row>
    <row r="6" spans="2:10" x14ac:dyDescent="0.25">
      <c r="B6" s="1230"/>
      <c r="C6" s="1230"/>
      <c r="D6" s="1230"/>
      <c r="E6" s="1230"/>
      <c r="F6" s="1230"/>
      <c r="G6" s="1230"/>
      <c r="H6" s="1230"/>
      <c r="I6" s="1230"/>
      <c r="J6" s="1230"/>
    </row>
    <row r="7" spans="2:10" x14ac:dyDescent="0.25">
      <c r="B7" s="1230"/>
      <c r="C7" s="1230"/>
      <c r="D7" s="1230"/>
      <c r="E7" s="1230"/>
      <c r="F7" s="1230"/>
      <c r="G7" s="1230"/>
      <c r="H7" s="1230"/>
      <c r="I7" s="1230"/>
      <c r="J7" s="1230"/>
    </row>
    <row r="8" spans="2:10" x14ac:dyDescent="0.25">
      <c r="B8" s="1230"/>
      <c r="C8" s="1230"/>
      <c r="D8" s="1230"/>
      <c r="E8" s="1230"/>
      <c r="F8" s="1230"/>
      <c r="G8" s="1230"/>
      <c r="H8" s="1230"/>
      <c r="I8" s="1230"/>
      <c r="J8" s="1230"/>
    </row>
    <row r="9" spans="2:10" x14ac:dyDescent="0.25">
      <c r="B9" s="1230"/>
      <c r="C9" s="1230"/>
      <c r="D9" s="1230"/>
      <c r="E9" s="1230"/>
      <c r="F9" s="1230"/>
      <c r="G9" s="1230"/>
      <c r="H9" s="1230"/>
      <c r="I9" s="1230"/>
      <c r="J9" s="1230"/>
    </row>
    <row r="10" spans="2:10" x14ac:dyDescent="0.25">
      <c r="B10" s="1230"/>
      <c r="C10" s="1230"/>
      <c r="D10" s="1230"/>
      <c r="E10" s="1230"/>
      <c r="F10" s="1230"/>
      <c r="G10" s="1230"/>
      <c r="H10" s="1230"/>
      <c r="I10" s="1230"/>
      <c r="J10" s="1230"/>
    </row>
    <row r="11" spans="2:10" x14ac:dyDescent="0.25">
      <c r="B11" s="1230"/>
      <c r="C11" s="1230"/>
      <c r="D11" s="1230"/>
      <c r="E11" s="1230"/>
      <c r="F11" s="1230"/>
      <c r="G11" s="1230"/>
      <c r="H11" s="1230"/>
      <c r="I11" s="1230"/>
      <c r="J11" s="1230"/>
    </row>
    <row r="12" spans="2:10" x14ac:dyDescent="0.25">
      <c r="B12" s="1230"/>
      <c r="C12" s="1230"/>
      <c r="D12" s="1230"/>
      <c r="E12" s="1230"/>
      <c r="F12" s="1230"/>
      <c r="G12" s="1230"/>
      <c r="H12" s="1230"/>
      <c r="I12" s="1230"/>
      <c r="J12" s="1230"/>
    </row>
    <row r="15" spans="2:10" x14ac:dyDescent="0.25">
      <c r="B15" t="s">
        <v>1024</v>
      </c>
    </row>
    <row r="17" spans="2:2" x14ac:dyDescent="0.25">
      <c r="B17" s="988" t="s">
        <v>1025</v>
      </c>
    </row>
    <row r="18" spans="2:2" x14ac:dyDescent="0.25">
      <c r="B18" s="937" t="s">
        <v>1028</v>
      </c>
    </row>
    <row r="19" spans="2:2" x14ac:dyDescent="0.25">
      <c r="B19" t="s">
        <v>1029</v>
      </c>
    </row>
    <row r="20" spans="2:2" x14ac:dyDescent="0.25">
      <c r="B20" t="s">
        <v>1026</v>
      </c>
    </row>
    <row r="21" spans="2:2" x14ac:dyDescent="0.25">
      <c r="B21" t="s">
        <v>1027</v>
      </c>
    </row>
  </sheetData>
  <mergeCells count="1">
    <mergeCell ref="B4:J12"/>
  </mergeCells>
  <hyperlinks>
    <hyperlink ref="B18" r:id="rId1"/>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S31"/>
  <sheetViews>
    <sheetView zoomScale="70" zoomScaleNormal="70" zoomScalePageLayoutView="70" workbookViewId="0">
      <selection activeCell="F19" sqref="F19"/>
    </sheetView>
  </sheetViews>
  <sheetFormatPr defaultColWidth="8.85546875" defaultRowHeight="15" x14ac:dyDescent="0.25"/>
  <cols>
    <col min="1" max="1" width="5.42578125" customWidth="1"/>
    <col min="2" max="2" width="21.42578125" customWidth="1"/>
    <col min="3" max="3" width="16.42578125" customWidth="1"/>
    <col min="4" max="5" width="14" bestFit="1" customWidth="1"/>
    <col min="6" max="6" width="13.42578125" bestFit="1" customWidth="1"/>
    <col min="7" max="7" width="11.42578125" bestFit="1" customWidth="1"/>
    <col min="8" max="8" width="11.140625" bestFit="1" customWidth="1"/>
    <col min="10" max="10" width="8.85546875" style="68"/>
    <col min="15" max="16" width="11.42578125" customWidth="1"/>
    <col min="17" max="17" width="11" customWidth="1"/>
    <col min="18" max="18" width="12.42578125" customWidth="1"/>
  </cols>
  <sheetData>
    <row r="1" spans="1:19" x14ac:dyDescent="0.25">
      <c r="A1" s="427" t="s">
        <v>372</v>
      </c>
    </row>
    <row r="2" spans="1:19" s="56" customFormat="1" x14ac:dyDescent="0.25">
      <c r="J2" s="68"/>
    </row>
    <row r="3" spans="1:19" s="56" customFormat="1" x14ac:dyDescent="0.25">
      <c r="A3" s="57" t="s">
        <v>109</v>
      </c>
      <c r="D3" s="56" t="s">
        <v>65</v>
      </c>
      <c r="E3" s="56">
        <v>1</v>
      </c>
      <c r="F3" s="56">
        <v>10</v>
      </c>
      <c r="G3" s="56">
        <v>50</v>
      </c>
      <c r="H3" s="56">
        <v>100</v>
      </c>
      <c r="J3" s="68"/>
    </row>
    <row r="4" spans="1:19" s="56" customFormat="1" x14ac:dyDescent="0.25">
      <c r="B4" s="56">
        <v>2.4</v>
      </c>
      <c r="C4" s="56" t="s">
        <v>54</v>
      </c>
      <c r="E4" s="464">
        <f>R15+C21</f>
        <v>261561</v>
      </c>
      <c r="F4" s="464">
        <f>Q15+C21</f>
        <v>399936</v>
      </c>
      <c r="G4" s="464">
        <f>P15+C21</f>
        <v>454692</v>
      </c>
      <c r="H4" s="464">
        <f>O15+C21</f>
        <v>674634</v>
      </c>
      <c r="J4" s="68"/>
    </row>
    <row r="5" spans="1:19" s="56" customFormat="1" x14ac:dyDescent="0.25">
      <c r="J5" s="68"/>
    </row>
    <row r="6" spans="1:19" s="56" customFormat="1" x14ac:dyDescent="0.25">
      <c r="J6" s="68"/>
    </row>
    <row r="7" spans="1:19" s="56" customFormat="1" x14ac:dyDescent="0.25">
      <c r="A7" s="427" t="s">
        <v>439</v>
      </c>
      <c r="J7" s="68"/>
    </row>
    <row r="8" spans="1:19" ht="15.75" x14ac:dyDescent="0.25">
      <c r="B8" s="537"/>
      <c r="C8" s="538" t="s">
        <v>377</v>
      </c>
      <c r="D8" s="538" t="s">
        <v>378</v>
      </c>
      <c r="E8" s="539"/>
      <c r="F8" s="540"/>
      <c r="G8" s="541" t="s">
        <v>379</v>
      </c>
      <c r="H8" s="542"/>
      <c r="I8" s="543"/>
      <c r="J8" s="542"/>
      <c r="K8" s="544" t="s">
        <v>380</v>
      </c>
      <c r="L8" s="542"/>
      <c r="M8" s="543"/>
      <c r="N8" s="478" t="s">
        <v>381</v>
      </c>
      <c r="O8" s="478" t="s">
        <v>89</v>
      </c>
      <c r="P8" s="478" t="s">
        <v>88</v>
      </c>
      <c r="Q8" s="478" t="s">
        <v>87</v>
      </c>
      <c r="R8" s="478" t="s">
        <v>97</v>
      </c>
    </row>
    <row r="9" spans="1:19" ht="15.75" thickBot="1" x14ac:dyDescent="0.3">
      <c r="A9" s="460"/>
      <c r="B9" s="545"/>
      <c r="C9" s="546" t="s">
        <v>382</v>
      </c>
      <c r="D9" s="546" t="s">
        <v>383</v>
      </c>
      <c r="E9" s="547" t="s">
        <v>80</v>
      </c>
      <c r="F9" s="548" t="s">
        <v>384</v>
      </c>
      <c r="G9" s="549" t="s">
        <v>385</v>
      </c>
      <c r="H9" s="549" t="s">
        <v>386</v>
      </c>
      <c r="I9" s="550" t="s">
        <v>387</v>
      </c>
      <c r="J9" s="551" t="s">
        <v>384</v>
      </c>
      <c r="K9" s="549" t="s">
        <v>385</v>
      </c>
      <c r="L9" s="549" t="s">
        <v>386</v>
      </c>
      <c r="M9" s="550" t="s">
        <v>387</v>
      </c>
      <c r="N9" s="478"/>
      <c r="O9" s="478"/>
      <c r="P9" s="478"/>
      <c r="Q9" s="478"/>
      <c r="R9" s="478"/>
      <c r="S9" s="460"/>
    </row>
    <row r="10" spans="1:19" ht="15.75" thickTop="1" x14ac:dyDescent="0.25">
      <c r="A10" s="460"/>
      <c r="B10" s="552" t="s">
        <v>388</v>
      </c>
      <c r="C10" s="553">
        <v>85000</v>
      </c>
      <c r="D10" s="554">
        <v>35</v>
      </c>
      <c r="E10" s="555">
        <v>114750.00000000001</v>
      </c>
      <c r="F10" s="556">
        <v>1</v>
      </c>
      <c r="G10" s="554">
        <v>1</v>
      </c>
      <c r="H10" s="554">
        <v>1</v>
      </c>
      <c r="I10" s="554">
        <v>1</v>
      </c>
      <c r="J10" s="557">
        <v>114750.00000000001</v>
      </c>
      <c r="K10" s="558">
        <v>114750.00000000001</v>
      </c>
      <c r="L10" s="558">
        <v>114750.00000000001</v>
      </c>
      <c r="M10" s="559">
        <v>114750.00000000001</v>
      </c>
      <c r="N10" s="436">
        <f>AVERAGE(J10:M10)</f>
        <v>114750.00000000001</v>
      </c>
      <c r="O10" s="436">
        <f>N10</f>
        <v>114750.00000000001</v>
      </c>
      <c r="P10" s="436">
        <f>O10</f>
        <v>114750.00000000001</v>
      </c>
      <c r="Q10" s="436">
        <f>P10</f>
        <v>114750.00000000001</v>
      </c>
      <c r="R10" s="436">
        <v>0</v>
      </c>
      <c r="S10" s="460"/>
    </row>
    <row r="11" spans="1:19" x14ac:dyDescent="0.25">
      <c r="A11" s="460"/>
      <c r="B11" s="552" t="s">
        <v>389</v>
      </c>
      <c r="C11" s="560">
        <v>35000</v>
      </c>
      <c r="D11" s="561">
        <v>35</v>
      </c>
      <c r="E11" s="555">
        <v>47250</v>
      </c>
      <c r="F11" s="562">
        <v>2</v>
      </c>
      <c r="G11" s="561">
        <v>2</v>
      </c>
      <c r="H11" s="561">
        <v>2</v>
      </c>
      <c r="I11" s="561">
        <v>2</v>
      </c>
      <c r="J11" s="563">
        <v>94500</v>
      </c>
      <c r="K11" s="558">
        <v>94500</v>
      </c>
      <c r="L11" s="558">
        <v>94500</v>
      </c>
      <c r="M11" s="559">
        <v>94500</v>
      </c>
      <c r="N11" s="436">
        <f t="shared" ref="N11:N13" si="0">AVERAGE(J11:M11)</f>
        <v>94500</v>
      </c>
      <c r="O11" s="436">
        <f t="shared" ref="O11:O13" si="1">N11</f>
        <v>94500</v>
      </c>
      <c r="P11" s="478">
        <f>O11/2</f>
        <v>47250</v>
      </c>
      <c r="Q11" s="478">
        <f>P11</f>
        <v>47250</v>
      </c>
      <c r="R11" s="478">
        <f>Q11/2</f>
        <v>23625</v>
      </c>
      <c r="S11" s="460"/>
    </row>
    <row r="12" spans="1:19" x14ac:dyDescent="0.25">
      <c r="A12" s="460"/>
      <c r="B12" s="552" t="s">
        <v>390</v>
      </c>
      <c r="C12" s="564">
        <v>18</v>
      </c>
      <c r="D12" s="561">
        <v>35</v>
      </c>
      <c r="E12" s="565">
        <v>24.3</v>
      </c>
      <c r="F12" s="561">
        <v>1</v>
      </c>
      <c r="G12" s="561">
        <v>2</v>
      </c>
      <c r="H12" s="561">
        <v>3</v>
      </c>
      <c r="I12" s="561">
        <v>4</v>
      </c>
      <c r="J12" s="557">
        <v>50544</v>
      </c>
      <c r="K12" s="558">
        <v>101088</v>
      </c>
      <c r="L12" s="558">
        <v>151632</v>
      </c>
      <c r="M12" s="559">
        <v>202176</v>
      </c>
      <c r="N12" s="436">
        <f t="shared" si="0"/>
        <v>126360</v>
      </c>
      <c r="O12" s="436">
        <f t="shared" si="1"/>
        <v>126360</v>
      </c>
      <c r="P12" s="478">
        <f>O12/2</f>
        <v>63180</v>
      </c>
      <c r="Q12" s="436">
        <f>J12</f>
        <v>50544</v>
      </c>
      <c r="R12" s="436">
        <f>Q12</f>
        <v>50544</v>
      </c>
      <c r="S12" s="460"/>
    </row>
    <row r="13" spans="1:19" x14ac:dyDescent="0.25">
      <c r="A13" s="460"/>
      <c r="B13" s="552" t="s">
        <v>391</v>
      </c>
      <c r="C13" s="564">
        <v>12</v>
      </c>
      <c r="D13" s="561">
        <v>35</v>
      </c>
      <c r="E13" s="565">
        <v>16.200000000000003</v>
      </c>
      <c r="F13" s="561">
        <v>4</v>
      </c>
      <c r="G13" s="561">
        <v>6</v>
      </c>
      <c r="H13" s="561">
        <v>7</v>
      </c>
      <c r="I13" s="561">
        <v>9</v>
      </c>
      <c r="J13" s="566">
        <v>134784.00000000003</v>
      </c>
      <c r="K13" s="567">
        <v>202176.00000000003</v>
      </c>
      <c r="L13" s="567">
        <v>235872.00000000003</v>
      </c>
      <c r="M13" s="568">
        <v>303264</v>
      </c>
      <c r="N13" s="436">
        <f t="shared" si="0"/>
        <v>219024.00000000003</v>
      </c>
      <c r="O13" s="436">
        <f t="shared" si="1"/>
        <v>219024.00000000003</v>
      </c>
      <c r="P13" s="478">
        <f>O13/2</f>
        <v>109512.00000000001</v>
      </c>
      <c r="Q13" s="478">
        <f>J13/2</f>
        <v>67392.000000000015</v>
      </c>
      <c r="R13" s="478">
        <f>Q13</f>
        <v>67392.000000000015</v>
      </c>
      <c r="S13" s="460"/>
    </row>
    <row r="14" spans="1:19" x14ac:dyDescent="0.25">
      <c r="A14" s="460"/>
      <c r="B14" s="569" t="s">
        <v>98</v>
      </c>
      <c r="C14" s="570"/>
      <c r="D14" s="571"/>
      <c r="E14" s="572"/>
      <c r="F14" s="573"/>
      <c r="G14" s="574"/>
      <c r="H14" s="574"/>
      <c r="I14" s="575"/>
      <c r="J14" s="576">
        <v>394578</v>
      </c>
      <c r="K14" s="577">
        <v>512514</v>
      </c>
      <c r="L14" s="577">
        <v>596754</v>
      </c>
      <c r="M14" s="577">
        <v>714690</v>
      </c>
      <c r="N14" s="478"/>
      <c r="O14" s="478"/>
      <c r="P14" s="478"/>
      <c r="Q14" s="478"/>
      <c r="R14" s="478"/>
      <c r="S14" s="460"/>
    </row>
    <row r="15" spans="1:19" x14ac:dyDescent="0.25">
      <c r="A15" s="460"/>
      <c r="B15" s="478"/>
      <c r="C15" s="478"/>
      <c r="D15" s="478"/>
      <c r="E15" s="478"/>
      <c r="F15" s="478"/>
      <c r="G15" s="478"/>
      <c r="H15" s="478"/>
      <c r="I15" s="478"/>
      <c r="J15" s="478"/>
      <c r="K15" s="478"/>
      <c r="L15" s="478"/>
      <c r="M15" s="436">
        <f>AVERAGE(J14:M14)</f>
        <v>554634</v>
      </c>
      <c r="N15" s="478"/>
      <c r="O15" s="578">
        <f>SUM(O10:O13)</f>
        <v>554634</v>
      </c>
      <c r="P15" s="578">
        <f t="shared" ref="P15:R15" si="2">SUM(P10:P13)</f>
        <v>334692</v>
      </c>
      <c r="Q15" s="578">
        <f t="shared" si="2"/>
        <v>279936</v>
      </c>
      <c r="R15" s="578">
        <f t="shared" si="2"/>
        <v>141561</v>
      </c>
      <c r="S15" s="460"/>
    </row>
    <row r="16" spans="1:19" x14ac:dyDescent="0.25">
      <c r="A16" s="460"/>
      <c r="B16" s="457"/>
      <c r="C16" s="454"/>
      <c r="D16" s="456"/>
      <c r="E16" s="453"/>
      <c r="F16" s="456"/>
      <c r="G16" s="456"/>
      <c r="H16" s="456"/>
      <c r="I16" s="456"/>
      <c r="J16" s="455"/>
      <c r="K16" s="455"/>
      <c r="L16" s="455"/>
      <c r="M16" s="455"/>
      <c r="N16" s="81"/>
      <c r="O16" s="81"/>
      <c r="P16" s="460"/>
      <c r="Q16" s="460"/>
      <c r="R16" s="460"/>
      <c r="S16" s="460"/>
    </row>
    <row r="17" spans="1:19" x14ac:dyDescent="0.25">
      <c r="A17" s="461" t="s">
        <v>392</v>
      </c>
      <c r="B17" s="452"/>
      <c r="C17" s="413"/>
      <c r="D17" s="458"/>
      <c r="E17" s="453"/>
      <c r="F17" s="415"/>
      <c r="G17" s="415"/>
      <c r="H17" s="415"/>
      <c r="I17" s="415"/>
      <c r="J17" s="417"/>
      <c r="K17" s="418"/>
      <c r="L17" s="418"/>
      <c r="M17" s="418"/>
      <c r="N17" s="460"/>
      <c r="O17" s="460"/>
      <c r="P17" s="460"/>
      <c r="Q17" s="460"/>
      <c r="R17" s="460"/>
      <c r="S17" s="460"/>
    </row>
    <row r="18" spans="1:19" x14ac:dyDescent="0.25">
      <c r="A18" s="460"/>
      <c r="B18" s="460" t="s">
        <v>393</v>
      </c>
      <c r="C18" s="460">
        <f>5000*12</f>
        <v>60000</v>
      </c>
      <c r="D18" s="460"/>
      <c r="E18" s="460"/>
      <c r="F18" s="460"/>
      <c r="G18" s="460"/>
      <c r="H18" s="460"/>
      <c r="I18" s="460"/>
      <c r="J18" s="460"/>
      <c r="K18" s="460"/>
      <c r="L18" s="460"/>
      <c r="M18" s="81"/>
      <c r="N18" s="460"/>
      <c r="O18" s="416"/>
      <c r="P18" s="416"/>
      <c r="Q18" s="416"/>
      <c r="R18" s="416"/>
      <c r="S18" s="460"/>
    </row>
    <row r="19" spans="1:19" x14ac:dyDescent="0.25">
      <c r="A19" s="460"/>
      <c r="B19" s="460" t="s">
        <v>394</v>
      </c>
      <c r="C19" s="460">
        <f>5000*12</f>
        <v>60000</v>
      </c>
      <c r="D19" s="460"/>
      <c r="E19" s="460"/>
      <c r="F19" s="460"/>
      <c r="G19" s="460"/>
      <c r="H19" s="460"/>
      <c r="I19" s="460"/>
      <c r="J19" s="460"/>
      <c r="K19" s="460"/>
      <c r="L19" s="460"/>
      <c r="M19" s="460"/>
      <c r="N19" s="460"/>
      <c r="O19" s="460"/>
      <c r="P19" s="460"/>
      <c r="Q19" s="460"/>
      <c r="R19" s="460"/>
      <c r="S19" s="460"/>
    </row>
    <row r="20" spans="1:19" s="68" customFormat="1" x14ac:dyDescent="0.25">
      <c r="A20" s="460"/>
      <c r="B20" s="461"/>
      <c r="C20" s="460"/>
      <c r="D20" s="460"/>
      <c r="E20" s="460"/>
      <c r="F20" s="460"/>
      <c r="G20" s="460"/>
      <c r="H20" s="460"/>
      <c r="I20" s="460"/>
      <c r="J20" s="460"/>
      <c r="K20" s="460"/>
      <c r="L20" s="460"/>
      <c r="M20" s="460"/>
      <c r="N20" s="460"/>
      <c r="O20" s="460"/>
      <c r="P20" s="460"/>
      <c r="Q20" s="460"/>
      <c r="R20" s="460"/>
      <c r="S20" s="460"/>
    </row>
    <row r="21" spans="1:19" s="68" customFormat="1" x14ac:dyDescent="0.25">
      <c r="A21" s="460"/>
      <c r="B21" s="76" t="s">
        <v>80</v>
      </c>
      <c r="C21" s="76">
        <f>C19+C18</f>
        <v>120000</v>
      </c>
      <c r="D21" s="460"/>
      <c r="E21" s="460"/>
      <c r="F21" s="460"/>
      <c r="G21" s="460"/>
      <c r="H21" s="460"/>
      <c r="I21" s="460"/>
      <c r="J21" s="460"/>
      <c r="K21" s="460"/>
      <c r="L21" s="460"/>
      <c r="M21" s="460"/>
      <c r="N21" s="460"/>
      <c r="O21" s="460"/>
      <c r="P21" s="460"/>
      <c r="Q21" s="460"/>
      <c r="R21" s="460"/>
      <c r="S21" s="460"/>
    </row>
    <row r="22" spans="1:19" s="68" customFormat="1" x14ac:dyDescent="0.25">
      <c r="A22" s="460"/>
      <c r="B22" s="460"/>
      <c r="C22" s="460"/>
      <c r="D22" s="460"/>
      <c r="E22" s="460"/>
      <c r="F22" s="460"/>
      <c r="G22" s="460"/>
      <c r="H22" s="460"/>
      <c r="I22" s="460"/>
      <c r="J22" s="460"/>
      <c r="K22" s="460"/>
      <c r="L22" s="460"/>
      <c r="M22" s="460"/>
      <c r="N22" s="460"/>
      <c r="O22" s="460"/>
      <c r="P22" s="460"/>
      <c r="Q22" s="460"/>
      <c r="R22" s="460"/>
      <c r="S22" s="460"/>
    </row>
    <row r="23" spans="1:19" s="68" customFormat="1" x14ac:dyDescent="0.25">
      <c r="B23" s="481"/>
    </row>
    <row r="24" spans="1:19" s="253" customFormat="1" x14ac:dyDescent="0.25">
      <c r="A24" s="174" t="s">
        <v>148</v>
      </c>
      <c r="B24" s="480"/>
    </row>
    <row r="25" spans="1:19" s="253" customFormat="1" x14ac:dyDescent="0.25">
      <c r="A25" s="253">
        <v>2.4</v>
      </c>
      <c r="B25" s="609" t="s">
        <v>471</v>
      </c>
    </row>
    <row r="26" spans="1:19" s="253" customFormat="1" x14ac:dyDescent="0.25">
      <c r="B26" s="480"/>
    </row>
    <row r="27" spans="1:19" s="253" customFormat="1" x14ac:dyDescent="0.25">
      <c r="A27" s="174" t="s">
        <v>212</v>
      </c>
    </row>
    <row r="28" spans="1:19" s="253" customFormat="1" x14ac:dyDescent="0.25">
      <c r="A28" s="253">
        <v>2.4</v>
      </c>
      <c r="B28" s="610" t="s">
        <v>472</v>
      </c>
    </row>
    <row r="29" spans="1:19" s="253" customFormat="1" x14ac:dyDescent="0.25"/>
    <row r="30" spans="1:19" s="68" customFormat="1" ht="14.45" x14ac:dyDescent="0.3">
      <c r="B30" s="211"/>
    </row>
    <row r="31" spans="1:19" ht="14.45" x14ac:dyDescent="0.3">
      <c r="B31" s="254"/>
    </row>
  </sheetData>
  <pageMargins left="0.7" right="0.7" top="0.75" bottom="0.75" header="0.3" footer="0.3"/>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topLeftCell="A13" zoomScale="70" zoomScaleNormal="70" zoomScalePageLayoutView="70" workbookViewId="0">
      <selection activeCell="C19" sqref="C19"/>
    </sheetView>
  </sheetViews>
  <sheetFormatPr defaultColWidth="8.85546875" defaultRowHeight="15" x14ac:dyDescent="0.25"/>
  <cols>
    <col min="1" max="1" width="4.7109375" style="745" customWidth="1"/>
    <col min="2" max="2" width="5.85546875" style="745" customWidth="1"/>
    <col min="3" max="3" width="26.85546875" style="745" customWidth="1"/>
    <col min="4" max="4" width="23" style="745" customWidth="1"/>
    <col min="5" max="5" width="23.42578125" style="745" customWidth="1"/>
    <col min="6" max="6" width="16.85546875" style="745" customWidth="1"/>
    <col min="7" max="7" width="14.7109375" style="745" bestFit="1" customWidth="1"/>
    <col min="8" max="8" width="15.140625" style="745" bestFit="1" customWidth="1"/>
    <col min="9" max="9" width="20" style="745" customWidth="1"/>
    <col min="10" max="10" width="14.42578125" style="745" customWidth="1"/>
    <col min="11" max="11" width="13.140625" style="745" customWidth="1"/>
    <col min="12" max="12" width="14.42578125" style="745" customWidth="1"/>
    <col min="13" max="13" width="17.140625" style="745" customWidth="1"/>
    <col min="14" max="14" width="20" style="745" customWidth="1"/>
    <col min="15" max="15" width="14.85546875" style="745" customWidth="1"/>
    <col min="16" max="16" width="13.28515625" style="745" customWidth="1"/>
    <col min="17" max="17" width="10.7109375" style="745" customWidth="1"/>
    <col min="18" max="18" width="11.42578125" style="745" customWidth="1"/>
    <col min="19" max="19" width="12.7109375" style="745" customWidth="1"/>
    <col min="20" max="20" width="12.42578125" style="745" customWidth="1"/>
    <col min="21" max="21" width="11.42578125" style="745" customWidth="1"/>
    <col min="22" max="22" width="16.140625" style="745" customWidth="1"/>
    <col min="23" max="23" width="13.7109375" style="745" customWidth="1"/>
    <col min="24" max="16384" width="8.85546875" style="745"/>
  </cols>
  <sheetData>
    <row r="1" spans="1:17" x14ac:dyDescent="0.25">
      <c r="A1" s="595" t="s">
        <v>373</v>
      </c>
    </row>
    <row r="2" spans="1:17" x14ac:dyDescent="0.25">
      <c r="A2" s="595"/>
      <c r="J2" s="595" t="s">
        <v>705</v>
      </c>
      <c r="K2" s="107" t="s">
        <v>702</v>
      </c>
    </row>
    <row r="3" spans="1:17" x14ac:dyDescent="0.25">
      <c r="E3" s="1253" t="s">
        <v>141</v>
      </c>
      <c r="F3" s="1253"/>
      <c r="G3" s="1253"/>
      <c r="H3" s="1253"/>
      <c r="J3" s="745" t="s">
        <v>706</v>
      </c>
      <c r="K3" s="107" t="s">
        <v>703</v>
      </c>
    </row>
    <row r="4" spans="1:17" x14ac:dyDescent="0.25">
      <c r="A4" s="595" t="s">
        <v>109</v>
      </c>
      <c r="E4" s="407">
        <v>1</v>
      </c>
      <c r="F4" s="407">
        <v>10</v>
      </c>
      <c r="G4" s="407">
        <v>50</v>
      </c>
      <c r="H4" s="407">
        <v>100</v>
      </c>
      <c r="J4" s="407"/>
      <c r="K4" s="755" t="s">
        <v>704</v>
      </c>
    </row>
    <row r="5" spans="1:17" x14ac:dyDescent="0.25">
      <c r="B5" s="745">
        <v>2.5</v>
      </c>
      <c r="C5" s="745" t="s">
        <v>55</v>
      </c>
      <c r="E5" s="464">
        <f>D86</f>
        <v>62737.9</v>
      </c>
      <c r="F5" s="464">
        <f>E86</f>
        <v>57285.10160989975</v>
      </c>
      <c r="G5" s="464">
        <f>F86</f>
        <v>53757.684932353674</v>
      </c>
      <c r="H5" s="464">
        <f>G86</f>
        <v>39208.749000000003</v>
      </c>
      <c r="I5" s="389"/>
      <c r="J5" s="389"/>
    </row>
    <row r="8" spans="1:17" x14ac:dyDescent="0.25">
      <c r="A8" s="595" t="s">
        <v>431</v>
      </c>
    </row>
    <row r="10" spans="1:17" x14ac:dyDescent="0.25">
      <c r="B10" s="745" t="s">
        <v>37</v>
      </c>
      <c r="D10" s="407" t="s">
        <v>427</v>
      </c>
      <c r="E10" s="407" t="s">
        <v>141</v>
      </c>
      <c r="F10" s="407" t="s">
        <v>428</v>
      </c>
      <c r="G10" s="407" t="s">
        <v>429</v>
      </c>
      <c r="H10" s="407" t="s">
        <v>430</v>
      </c>
      <c r="I10" s="407" t="s">
        <v>434</v>
      </c>
      <c r="N10" s="746"/>
      <c r="P10" s="408"/>
      <c r="Q10" s="508"/>
    </row>
    <row r="11" spans="1:17" x14ac:dyDescent="0.25">
      <c r="C11" s="745" t="s">
        <v>286</v>
      </c>
      <c r="D11" s="408">
        <v>9350</v>
      </c>
      <c r="E11" s="745">
        <v>1</v>
      </c>
      <c r="F11" s="745">
        <v>8</v>
      </c>
      <c r="G11" s="63">
        <f>D11*E11*H11</f>
        <v>1168.75</v>
      </c>
      <c r="H11" s="248">
        <f>1/F11</f>
        <v>0.125</v>
      </c>
      <c r="I11" s="248">
        <f>H11</f>
        <v>0.125</v>
      </c>
      <c r="N11" s="746"/>
      <c r="P11" s="408"/>
      <c r="Q11" s="508"/>
    </row>
    <row r="12" spans="1:17" x14ac:dyDescent="0.25">
      <c r="C12" s="745" t="s">
        <v>302</v>
      </c>
      <c r="D12" s="408">
        <v>408</v>
      </c>
      <c r="E12" s="745">
        <v>4</v>
      </c>
      <c r="F12" s="745">
        <v>20</v>
      </c>
      <c r="G12" s="63">
        <f t="shared" ref="G12:G28" si="0">D12*E12*H12</f>
        <v>81.600000000000009</v>
      </c>
      <c r="H12" s="248">
        <f t="shared" ref="H12:H28" si="1">1/F12</f>
        <v>0.05</v>
      </c>
      <c r="N12" s="746"/>
      <c r="P12" s="408"/>
      <c r="Q12" s="508"/>
    </row>
    <row r="13" spans="1:17" x14ac:dyDescent="0.25">
      <c r="C13" s="745" t="s">
        <v>422</v>
      </c>
      <c r="D13" s="408">
        <v>116</v>
      </c>
      <c r="E13" s="745">
        <v>1</v>
      </c>
      <c r="F13" s="745">
        <v>5</v>
      </c>
      <c r="G13" s="63">
        <f t="shared" si="0"/>
        <v>23.200000000000003</v>
      </c>
      <c r="H13" s="248">
        <f t="shared" si="1"/>
        <v>0.2</v>
      </c>
      <c r="N13" s="746"/>
      <c r="P13" s="408"/>
      <c r="Q13" s="508"/>
    </row>
    <row r="14" spans="1:17" x14ac:dyDescent="0.25">
      <c r="C14" s="745" t="s">
        <v>288</v>
      </c>
      <c r="D14" s="408">
        <v>225</v>
      </c>
      <c r="E14" s="745">
        <v>2</v>
      </c>
      <c r="F14" s="745">
        <v>8</v>
      </c>
      <c r="G14" s="63">
        <f t="shared" si="0"/>
        <v>56.25</v>
      </c>
      <c r="H14" s="248">
        <f t="shared" si="1"/>
        <v>0.125</v>
      </c>
      <c r="N14" s="746"/>
      <c r="P14" s="408"/>
      <c r="Q14" s="508"/>
    </row>
    <row r="15" spans="1:17" x14ac:dyDescent="0.25">
      <c r="C15" s="745" t="s">
        <v>289</v>
      </c>
      <c r="D15" s="408">
        <v>702</v>
      </c>
      <c r="E15" s="745">
        <v>2</v>
      </c>
      <c r="G15" s="63"/>
      <c r="H15" s="248"/>
      <c r="N15" s="746"/>
      <c r="P15" s="408"/>
      <c r="Q15" s="508"/>
    </row>
    <row r="16" spans="1:17" x14ac:dyDescent="0.25">
      <c r="C16" s="745" t="s">
        <v>290</v>
      </c>
      <c r="D16" s="408">
        <v>19800</v>
      </c>
      <c r="E16" s="745">
        <v>4</v>
      </c>
      <c r="G16" s="63"/>
      <c r="H16" s="248"/>
      <c r="N16" s="746"/>
      <c r="P16" s="408"/>
      <c r="Q16" s="508"/>
    </row>
    <row r="17" spans="1:17" x14ac:dyDescent="0.25">
      <c r="C17" s="745" t="s">
        <v>291</v>
      </c>
      <c r="D17" s="408">
        <v>898</v>
      </c>
      <c r="E17" s="745">
        <v>1</v>
      </c>
      <c r="G17" s="63"/>
      <c r="H17" s="248"/>
      <c r="N17" s="746"/>
      <c r="P17" s="408"/>
      <c r="Q17" s="508"/>
    </row>
    <row r="18" spans="1:17" x14ac:dyDescent="0.25">
      <c r="C18" s="745" t="s">
        <v>292</v>
      </c>
      <c r="D18" s="408">
        <v>2568</v>
      </c>
      <c r="E18" s="745">
        <v>1</v>
      </c>
      <c r="G18" s="63"/>
      <c r="H18" s="248"/>
      <c r="N18" s="746"/>
      <c r="P18" s="408"/>
      <c r="Q18" s="508"/>
    </row>
    <row r="19" spans="1:17" x14ac:dyDescent="0.25">
      <c r="C19" s="745" t="s">
        <v>293</v>
      </c>
      <c r="D19" s="408">
        <v>8261</v>
      </c>
      <c r="E19" s="745">
        <v>1</v>
      </c>
      <c r="F19" s="745">
        <v>5</v>
      </c>
      <c r="G19" s="63">
        <f t="shared" si="0"/>
        <v>1652.2</v>
      </c>
      <c r="H19" s="248">
        <f t="shared" si="1"/>
        <v>0.2</v>
      </c>
      <c r="I19" s="248">
        <f>H19</f>
        <v>0.2</v>
      </c>
      <c r="N19" s="746"/>
      <c r="P19" s="408"/>
      <c r="Q19" s="508"/>
    </row>
    <row r="20" spans="1:17" x14ac:dyDescent="0.25">
      <c r="C20" s="745" t="s">
        <v>294</v>
      </c>
      <c r="D20" s="408">
        <v>7000</v>
      </c>
      <c r="E20" s="745">
        <v>1</v>
      </c>
      <c r="G20" s="63"/>
      <c r="H20" s="248"/>
      <c r="M20" s="480"/>
      <c r="N20" s="75"/>
      <c r="P20" s="408"/>
      <c r="Q20" s="508"/>
    </row>
    <row r="21" spans="1:17" x14ac:dyDescent="0.25">
      <c r="B21" s="745" t="s">
        <v>424</v>
      </c>
      <c r="G21" s="63"/>
      <c r="H21" s="248"/>
      <c r="M21" s="480"/>
      <c r="N21" s="75"/>
      <c r="P21" s="408"/>
      <c r="Q21" s="508"/>
    </row>
    <row r="22" spans="1:17" x14ac:dyDescent="0.25">
      <c r="C22" s="745" t="s">
        <v>33</v>
      </c>
      <c r="D22" s="408">
        <v>7006</v>
      </c>
      <c r="E22" s="745">
        <v>1</v>
      </c>
      <c r="F22" s="745">
        <v>10</v>
      </c>
      <c r="G22" s="63">
        <f t="shared" si="0"/>
        <v>700.6</v>
      </c>
      <c r="H22" s="248">
        <f t="shared" si="1"/>
        <v>0.1</v>
      </c>
      <c r="I22" s="248">
        <f>H22</f>
        <v>0.1</v>
      </c>
      <c r="M22" s="480"/>
      <c r="N22" s="75"/>
      <c r="P22" s="408"/>
      <c r="Q22" s="508"/>
    </row>
    <row r="23" spans="1:17" x14ac:dyDescent="0.25">
      <c r="C23" s="745" t="s">
        <v>38</v>
      </c>
      <c r="D23" s="408">
        <v>30000</v>
      </c>
      <c r="E23" s="745">
        <v>1</v>
      </c>
      <c r="F23" s="745">
        <v>7.5</v>
      </c>
      <c r="G23" s="63">
        <f t="shared" si="0"/>
        <v>4000</v>
      </c>
      <c r="H23" s="248">
        <f t="shared" si="1"/>
        <v>0.13333333333333333</v>
      </c>
      <c r="I23" s="248">
        <f>H23</f>
        <v>0.13333333333333333</v>
      </c>
      <c r="P23" s="408"/>
    </row>
    <row r="24" spans="1:17" x14ac:dyDescent="0.25">
      <c r="C24" s="745" t="s">
        <v>40</v>
      </c>
      <c r="D24" s="408">
        <v>20000</v>
      </c>
      <c r="E24" s="745">
        <v>1</v>
      </c>
      <c r="F24" s="745">
        <v>15</v>
      </c>
      <c r="G24" s="63">
        <f t="shared" si="0"/>
        <v>1333.3333333333333</v>
      </c>
      <c r="H24" s="248">
        <f t="shared" si="1"/>
        <v>6.6666666666666666E-2</v>
      </c>
      <c r="I24" s="248">
        <f>H24</f>
        <v>6.6666666666666666E-2</v>
      </c>
      <c r="P24" s="408"/>
    </row>
    <row r="25" spans="1:17" x14ac:dyDescent="0.25">
      <c r="B25" s="745" t="s">
        <v>425</v>
      </c>
      <c r="G25" s="63"/>
      <c r="H25" s="248"/>
      <c r="P25" s="408"/>
    </row>
    <row r="26" spans="1:17" x14ac:dyDescent="0.25">
      <c r="C26" s="745" t="s">
        <v>42</v>
      </c>
      <c r="D26" s="408">
        <v>88000</v>
      </c>
      <c r="E26" s="745">
        <v>1</v>
      </c>
      <c r="F26" s="745">
        <v>10</v>
      </c>
      <c r="G26" s="63">
        <f t="shared" si="0"/>
        <v>8800</v>
      </c>
      <c r="H26" s="248">
        <f t="shared" si="1"/>
        <v>0.1</v>
      </c>
      <c r="P26" s="408"/>
    </row>
    <row r="27" spans="1:17" x14ac:dyDescent="0.25">
      <c r="C27" s="745" t="s">
        <v>426</v>
      </c>
      <c r="D27" s="745">
        <f>'1.3 (RM3)'!E10</f>
        <v>524775</v>
      </c>
      <c r="E27" s="745">
        <v>1</v>
      </c>
      <c r="F27" s="745">
        <v>20</v>
      </c>
      <c r="G27" s="63">
        <f t="shared" si="0"/>
        <v>26238.75</v>
      </c>
      <c r="H27" s="248">
        <f t="shared" si="1"/>
        <v>0.05</v>
      </c>
      <c r="I27" s="248">
        <f>H27</f>
        <v>0.05</v>
      </c>
      <c r="P27" s="408"/>
    </row>
    <row r="28" spans="1:17" x14ac:dyDescent="0.25">
      <c r="C28" s="745" t="s">
        <v>433</v>
      </c>
      <c r="D28" s="408">
        <v>30514</v>
      </c>
      <c r="E28" s="745">
        <v>1</v>
      </c>
      <c r="F28" s="745">
        <v>10</v>
      </c>
      <c r="G28" s="63">
        <f t="shared" si="0"/>
        <v>3051.4</v>
      </c>
      <c r="H28" s="248">
        <f t="shared" si="1"/>
        <v>0.1</v>
      </c>
      <c r="P28" s="408"/>
    </row>
    <row r="29" spans="1:17" x14ac:dyDescent="0.25">
      <c r="P29" s="408"/>
    </row>
    <row r="30" spans="1:17" x14ac:dyDescent="0.25">
      <c r="B30" s="288" t="s">
        <v>80</v>
      </c>
      <c r="C30" s="288"/>
      <c r="D30" s="288"/>
      <c r="E30" s="288"/>
      <c r="F30" s="288"/>
      <c r="G30" s="582">
        <f>SUM(G11:G28)</f>
        <v>47106.083333333336</v>
      </c>
      <c r="H30" s="582">
        <f>SUM(H11:H28)</f>
        <v>1.25</v>
      </c>
      <c r="I30" s="583">
        <f>SUM(I11:I28)</f>
        <v>0.67500000000000004</v>
      </c>
    </row>
    <row r="32" spans="1:17" x14ac:dyDescent="0.25">
      <c r="A32" s="595" t="s">
        <v>435</v>
      </c>
      <c r="E32" s="595">
        <f>'Performance &amp; Economics'!E7</f>
        <v>360</v>
      </c>
      <c r="F32" s="595" t="s">
        <v>139</v>
      </c>
    </row>
    <row r="34" spans="2:9" x14ac:dyDescent="0.25">
      <c r="B34" s="745" t="s">
        <v>37</v>
      </c>
      <c r="D34" s="407" t="s">
        <v>427</v>
      </c>
      <c r="E34" s="407" t="s">
        <v>141</v>
      </c>
      <c r="F34" s="407" t="s">
        <v>428</v>
      </c>
      <c r="G34" s="407" t="s">
        <v>429</v>
      </c>
      <c r="H34" s="407" t="s">
        <v>430</v>
      </c>
      <c r="I34" s="407" t="s">
        <v>434</v>
      </c>
    </row>
    <row r="35" spans="2:9" x14ac:dyDescent="0.25">
      <c r="C35" s="745" t="s">
        <v>286</v>
      </c>
      <c r="D35" s="401">
        <f>D11*$E$32/100</f>
        <v>33660</v>
      </c>
      <c r="E35" s="745">
        <v>1</v>
      </c>
      <c r="F35" s="745">
        <v>8</v>
      </c>
      <c r="G35" s="400">
        <f>D35*E35*H35</f>
        <v>4207.5</v>
      </c>
      <c r="H35" s="248">
        <f>1/F35</f>
        <v>0.125</v>
      </c>
      <c r="I35" s="248">
        <f>H35</f>
        <v>0.125</v>
      </c>
    </row>
    <row r="36" spans="2:9" x14ac:dyDescent="0.25">
      <c r="C36" s="745" t="s">
        <v>302</v>
      </c>
      <c r="D36" s="401">
        <f t="shared" ref="D36:D48" si="2">D12*$E$32/100</f>
        <v>1468.8</v>
      </c>
      <c r="E36" s="745">
        <v>4</v>
      </c>
      <c r="F36" s="745">
        <v>20</v>
      </c>
      <c r="G36" s="400">
        <f t="shared" ref="G36:G38" si="3">D36*E36*H36</f>
        <v>293.76</v>
      </c>
      <c r="H36" s="248">
        <f t="shared" ref="H36:H38" si="4">1/F36</f>
        <v>0.05</v>
      </c>
    </row>
    <row r="37" spans="2:9" x14ac:dyDescent="0.25">
      <c r="C37" s="745" t="s">
        <v>422</v>
      </c>
      <c r="D37" s="401">
        <f t="shared" si="2"/>
        <v>417.6</v>
      </c>
      <c r="E37" s="745">
        <v>1</v>
      </c>
      <c r="F37" s="745">
        <v>5</v>
      </c>
      <c r="G37" s="400">
        <f t="shared" si="3"/>
        <v>83.52000000000001</v>
      </c>
      <c r="H37" s="248">
        <f t="shared" si="4"/>
        <v>0.2</v>
      </c>
    </row>
    <row r="38" spans="2:9" x14ac:dyDescent="0.25">
      <c r="C38" s="745" t="s">
        <v>288</v>
      </c>
      <c r="D38" s="401">
        <f t="shared" si="2"/>
        <v>810</v>
      </c>
      <c r="E38" s="745">
        <v>2</v>
      </c>
      <c r="F38" s="745">
        <v>8</v>
      </c>
      <c r="G38" s="400">
        <f t="shared" si="3"/>
        <v>202.5</v>
      </c>
      <c r="H38" s="248">
        <f t="shared" si="4"/>
        <v>0.125</v>
      </c>
    </row>
    <row r="39" spans="2:9" x14ac:dyDescent="0.25">
      <c r="C39" s="745" t="s">
        <v>289</v>
      </c>
      <c r="D39" s="401">
        <f t="shared" si="2"/>
        <v>2527.1999999999998</v>
      </c>
      <c r="E39" s="745">
        <v>2</v>
      </c>
      <c r="G39" s="400"/>
      <c r="H39" s="248"/>
    </row>
    <row r="40" spans="2:9" x14ac:dyDescent="0.25">
      <c r="C40" s="745" t="s">
        <v>290</v>
      </c>
      <c r="D40" s="401">
        <f t="shared" si="2"/>
        <v>71280</v>
      </c>
      <c r="E40" s="745">
        <v>4</v>
      </c>
      <c r="G40" s="400"/>
      <c r="H40" s="248"/>
    </row>
    <row r="41" spans="2:9" x14ac:dyDescent="0.25">
      <c r="C41" s="745" t="s">
        <v>291</v>
      </c>
      <c r="D41" s="401">
        <f t="shared" si="2"/>
        <v>3232.8</v>
      </c>
      <c r="E41" s="745">
        <v>1</v>
      </c>
      <c r="G41" s="400"/>
      <c r="H41" s="248"/>
    </row>
    <row r="42" spans="2:9" ht="14.45" x14ac:dyDescent="0.3">
      <c r="C42" s="745" t="s">
        <v>292</v>
      </c>
      <c r="D42" s="401">
        <f t="shared" si="2"/>
        <v>9244.7999999999993</v>
      </c>
      <c r="E42" s="745">
        <v>1</v>
      </c>
      <c r="G42" s="400"/>
      <c r="H42" s="248"/>
    </row>
    <row r="43" spans="2:9" ht="14.45" x14ac:dyDescent="0.3">
      <c r="C43" s="745" t="s">
        <v>293</v>
      </c>
      <c r="D43" s="401">
        <f t="shared" si="2"/>
        <v>29739.599999999999</v>
      </c>
      <c r="E43" s="745">
        <v>1</v>
      </c>
      <c r="F43" s="745">
        <v>5</v>
      </c>
      <c r="G43" s="400">
        <f t="shared" ref="G43" si="5">D43*E43*H43</f>
        <v>5947.92</v>
      </c>
      <c r="H43" s="248">
        <f t="shared" ref="H43" si="6">1/F43</f>
        <v>0.2</v>
      </c>
      <c r="I43" s="248">
        <f>H43</f>
        <v>0.2</v>
      </c>
    </row>
    <row r="44" spans="2:9" ht="14.45" x14ac:dyDescent="0.3">
      <c r="C44" s="745" t="s">
        <v>294</v>
      </c>
      <c r="D44" s="401">
        <f t="shared" si="2"/>
        <v>25200</v>
      </c>
      <c r="E44" s="745">
        <v>1</v>
      </c>
      <c r="G44" s="400"/>
      <c r="H44" s="248"/>
    </row>
    <row r="45" spans="2:9" ht="14.45" x14ac:dyDescent="0.3">
      <c r="B45" s="745" t="s">
        <v>424</v>
      </c>
      <c r="D45" s="401">
        <f t="shared" si="2"/>
        <v>0</v>
      </c>
      <c r="G45" s="400"/>
      <c r="H45" s="248"/>
    </row>
    <row r="46" spans="2:9" ht="14.45" x14ac:dyDescent="0.3">
      <c r="C46" s="745" t="s">
        <v>33</v>
      </c>
      <c r="D46" s="401">
        <f t="shared" si="2"/>
        <v>25221.599999999999</v>
      </c>
      <c r="E46" s="745">
        <v>1</v>
      </c>
      <c r="F46" s="745">
        <v>10</v>
      </c>
      <c r="G46" s="400">
        <f t="shared" ref="G46:G48" si="7">D46*E46*H46</f>
        <v>2522.16</v>
      </c>
      <c r="H46" s="248">
        <f t="shared" ref="H46:H48" si="8">1/F46</f>
        <v>0.1</v>
      </c>
      <c r="I46" s="248">
        <f>H46</f>
        <v>0.1</v>
      </c>
    </row>
    <row r="47" spans="2:9" ht="14.45" x14ac:dyDescent="0.3">
      <c r="C47" s="745" t="s">
        <v>38</v>
      </c>
      <c r="D47" s="401">
        <f t="shared" si="2"/>
        <v>108000</v>
      </c>
      <c r="E47" s="745">
        <v>1</v>
      </c>
      <c r="F47" s="745">
        <v>7.5</v>
      </c>
      <c r="G47" s="400">
        <f t="shared" si="7"/>
        <v>14400</v>
      </c>
      <c r="H47" s="248">
        <f t="shared" si="8"/>
        <v>0.13333333333333333</v>
      </c>
      <c r="I47" s="248">
        <f>H47</f>
        <v>0.13333333333333333</v>
      </c>
    </row>
    <row r="48" spans="2:9" ht="14.45" x14ac:dyDescent="0.3">
      <c r="C48" s="745" t="s">
        <v>40</v>
      </c>
      <c r="D48" s="401">
        <f t="shared" si="2"/>
        <v>72000</v>
      </c>
      <c r="E48" s="745">
        <v>1</v>
      </c>
      <c r="F48" s="745">
        <v>15</v>
      </c>
      <c r="G48" s="400">
        <f t="shared" si="7"/>
        <v>4800</v>
      </c>
      <c r="H48" s="248">
        <f t="shared" si="8"/>
        <v>6.6666666666666666E-2</v>
      </c>
      <c r="I48" s="248">
        <f>H48</f>
        <v>6.6666666666666666E-2</v>
      </c>
    </row>
    <row r="49" spans="1:9" ht="14.45" x14ac:dyDescent="0.3">
      <c r="B49" s="745" t="s">
        <v>425</v>
      </c>
      <c r="D49" s="401"/>
      <c r="G49" s="400"/>
      <c r="H49" s="248"/>
    </row>
    <row r="50" spans="1:9" ht="14.45" x14ac:dyDescent="0.3">
      <c r="C50" s="745" t="s">
        <v>42</v>
      </c>
      <c r="D50" s="401">
        <f>D26</f>
        <v>88000</v>
      </c>
      <c r="E50" s="745">
        <v>1</v>
      </c>
      <c r="F50" s="745">
        <v>10</v>
      </c>
      <c r="G50" s="400">
        <f t="shared" ref="G50:G52" si="9">D50*E50*H50</f>
        <v>8800</v>
      </c>
      <c r="H50" s="248">
        <f t="shared" ref="H50:H52" si="10">1/F50</f>
        <v>0.1</v>
      </c>
    </row>
    <row r="51" spans="1:9" ht="14.45" x14ac:dyDescent="0.3">
      <c r="C51" s="745" t="s">
        <v>426</v>
      </c>
      <c r="D51" s="401">
        <f>D27</f>
        <v>524775</v>
      </c>
      <c r="E51" s="745">
        <v>1</v>
      </c>
      <c r="F51" s="745">
        <v>50</v>
      </c>
      <c r="G51" s="400">
        <f t="shared" si="9"/>
        <v>10495.5</v>
      </c>
      <c r="H51" s="248">
        <f t="shared" si="10"/>
        <v>0.02</v>
      </c>
      <c r="I51" s="248">
        <f>H51</f>
        <v>0.02</v>
      </c>
    </row>
    <row r="52" spans="1:9" ht="14.45" x14ac:dyDescent="0.3">
      <c r="C52" s="745" t="s">
        <v>433</v>
      </c>
      <c r="D52" s="401">
        <f>D28*E32/100</f>
        <v>109850.4</v>
      </c>
      <c r="E52" s="745">
        <v>1</v>
      </c>
      <c r="F52" s="745">
        <v>10</v>
      </c>
      <c r="G52" s="400">
        <f t="shared" si="9"/>
        <v>10985.04</v>
      </c>
      <c r="H52" s="248">
        <f t="shared" si="10"/>
        <v>0.1</v>
      </c>
    </row>
    <row r="53" spans="1:9" ht="14.45" x14ac:dyDescent="0.3">
      <c r="G53" s="400"/>
    </row>
    <row r="54" spans="1:9" ht="14.45" x14ac:dyDescent="0.3">
      <c r="B54" s="288" t="s">
        <v>80</v>
      </c>
      <c r="C54" s="288"/>
      <c r="D54" s="288"/>
      <c r="E54" s="288"/>
      <c r="F54" s="288"/>
      <c r="G54" s="170">
        <f>SUM(G35:G52)</f>
        <v>62737.9</v>
      </c>
      <c r="H54" s="582">
        <f>SUM(H35:H52)</f>
        <v>1.22</v>
      </c>
      <c r="I54" s="583">
        <f>SUM(I35:I52)</f>
        <v>0.64500000000000002</v>
      </c>
    </row>
    <row r="55" spans="1:9" ht="14.45" x14ac:dyDescent="0.3">
      <c r="E55" s="407"/>
      <c r="F55" s="407"/>
      <c r="G55" s="407"/>
      <c r="H55" s="407"/>
    </row>
    <row r="56" spans="1:9" ht="14.45" x14ac:dyDescent="0.3">
      <c r="A56" s="595" t="s">
        <v>436</v>
      </c>
      <c r="E56" s="407"/>
      <c r="F56" s="407"/>
      <c r="G56" s="407"/>
      <c r="H56" s="407"/>
    </row>
    <row r="57" spans="1:9" ht="14.45" x14ac:dyDescent="0.3">
      <c r="E57" s="407"/>
      <c r="F57" s="407"/>
      <c r="G57" s="407"/>
      <c r="H57" s="407"/>
    </row>
    <row r="58" spans="1:9" ht="14.45" x14ac:dyDescent="0.3">
      <c r="B58" s="745" t="s">
        <v>37</v>
      </c>
      <c r="D58" s="407" t="s">
        <v>427</v>
      </c>
      <c r="E58" s="407" t="s">
        <v>141</v>
      </c>
      <c r="F58" s="407" t="s">
        <v>428</v>
      </c>
      <c r="G58" s="407" t="s">
        <v>429</v>
      </c>
      <c r="H58" s="407" t="s">
        <v>430</v>
      </c>
      <c r="I58" s="407" t="s">
        <v>434</v>
      </c>
    </row>
    <row r="59" spans="1:9" ht="14.45" x14ac:dyDescent="0.3">
      <c r="C59" s="745" t="s">
        <v>286</v>
      </c>
      <c r="D59" s="401">
        <v>24310</v>
      </c>
      <c r="E59" s="745">
        <v>1</v>
      </c>
      <c r="F59" s="745">
        <v>8</v>
      </c>
      <c r="G59" s="400">
        <f>D59*E59*H59</f>
        <v>3038.75</v>
      </c>
      <c r="H59" s="248">
        <f>1/F59</f>
        <v>0.125</v>
      </c>
      <c r="I59" s="248">
        <f>H59</f>
        <v>0.125</v>
      </c>
    </row>
    <row r="60" spans="1:9" ht="14.45" x14ac:dyDescent="0.3">
      <c r="C60" s="745" t="s">
        <v>302</v>
      </c>
      <c r="D60" s="401">
        <v>938.07999999999993</v>
      </c>
      <c r="E60" s="745">
        <v>4</v>
      </c>
      <c r="F60" s="745">
        <v>20</v>
      </c>
      <c r="G60" s="400">
        <f t="shared" ref="G60:G62" si="11">D60*E60*H60</f>
        <v>187.61599999999999</v>
      </c>
      <c r="H60" s="248">
        <f t="shared" ref="H60:H62" si="12">1/F60</f>
        <v>0.05</v>
      </c>
    </row>
    <row r="61" spans="1:9" ht="14.45" x14ac:dyDescent="0.3">
      <c r="C61" s="745" t="s">
        <v>422</v>
      </c>
      <c r="D61" s="401">
        <v>277.42</v>
      </c>
      <c r="E61" s="745">
        <v>1</v>
      </c>
      <c r="F61" s="745">
        <v>5</v>
      </c>
      <c r="G61" s="400">
        <f t="shared" si="11"/>
        <v>55.484000000000009</v>
      </c>
      <c r="H61" s="248">
        <f t="shared" si="12"/>
        <v>0.2</v>
      </c>
    </row>
    <row r="62" spans="1:9" ht="14.45" x14ac:dyDescent="0.3">
      <c r="C62" s="745" t="s">
        <v>288</v>
      </c>
      <c r="D62" s="401">
        <v>480.47999999999996</v>
      </c>
      <c r="E62" s="745">
        <v>2</v>
      </c>
      <c r="F62" s="745">
        <v>8</v>
      </c>
      <c r="G62" s="400">
        <f t="shared" si="11"/>
        <v>120.11999999999999</v>
      </c>
      <c r="H62" s="248">
        <f t="shared" si="12"/>
        <v>0.125</v>
      </c>
    </row>
    <row r="63" spans="1:9" ht="14.45" x14ac:dyDescent="0.3">
      <c r="C63" s="745" t="s">
        <v>289</v>
      </c>
      <c r="D63" s="401">
        <v>1893.32</v>
      </c>
      <c r="E63" s="745">
        <v>2</v>
      </c>
      <c r="G63" s="400"/>
      <c r="H63" s="248"/>
    </row>
    <row r="64" spans="1:9" ht="14.45" x14ac:dyDescent="0.3">
      <c r="C64" s="745" t="s">
        <v>290</v>
      </c>
      <c r="D64" s="401">
        <v>23452</v>
      </c>
      <c r="E64" s="745">
        <v>4</v>
      </c>
      <c r="G64" s="400"/>
      <c r="H64" s="248"/>
    </row>
    <row r="65" spans="2:9" ht="14.45" x14ac:dyDescent="0.3">
      <c r="C65" s="745" t="s">
        <v>291</v>
      </c>
      <c r="D65" s="401">
        <v>2419.56</v>
      </c>
      <c r="E65" s="745">
        <v>1</v>
      </c>
      <c r="G65" s="400"/>
      <c r="H65" s="248"/>
    </row>
    <row r="66" spans="2:9" ht="14.45" x14ac:dyDescent="0.3">
      <c r="C66" s="745" t="s">
        <v>292</v>
      </c>
      <c r="D66" s="401">
        <v>6912.62</v>
      </c>
      <c r="E66" s="745">
        <v>1</v>
      </c>
      <c r="G66" s="400"/>
      <c r="H66" s="248"/>
    </row>
    <row r="67" spans="2:9" ht="14.45" x14ac:dyDescent="0.3">
      <c r="C67" s="745" t="s">
        <v>293</v>
      </c>
      <c r="D67" s="401">
        <v>17889.3</v>
      </c>
      <c r="E67" s="745">
        <v>1</v>
      </c>
      <c r="F67" s="745">
        <v>5</v>
      </c>
      <c r="G67" s="400">
        <f t="shared" ref="G67" si="13">D67*E67*H67</f>
        <v>3577.86</v>
      </c>
      <c r="H67" s="248">
        <f t="shared" ref="H67" si="14">1/F67</f>
        <v>0.2</v>
      </c>
      <c r="I67" s="248">
        <f>H67</f>
        <v>0.2</v>
      </c>
    </row>
    <row r="68" spans="2:9" ht="14.45" x14ac:dyDescent="0.3">
      <c r="C68" s="745" t="s">
        <v>294</v>
      </c>
      <c r="D68" s="401">
        <v>18590</v>
      </c>
      <c r="E68" s="745">
        <v>1</v>
      </c>
      <c r="G68" s="400"/>
      <c r="H68" s="248"/>
    </row>
    <row r="69" spans="2:9" ht="14.45" x14ac:dyDescent="0.3">
      <c r="B69" s="745" t="s">
        <v>424</v>
      </c>
      <c r="D69" s="401"/>
      <c r="G69" s="400"/>
      <c r="H69" s="248"/>
    </row>
    <row r="70" spans="2:9" ht="14.45" x14ac:dyDescent="0.3">
      <c r="C70" s="745" t="s">
        <v>33</v>
      </c>
      <c r="D70" s="401">
        <v>25740</v>
      </c>
      <c r="E70" s="745">
        <v>1</v>
      </c>
      <c r="F70" s="745">
        <v>10</v>
      </c>
      <c r="G70" s="400">
        <f t="shared" ref="G70:G72" si="15">D70*E70*H70</f>
        <v>2574</v>
      </c>
      <c r="H70" s="248">
        <f t="shared" ref="H70:H72" si="16">1/F70</f>
        <v>0.1</v>
      </c>
      <c r="I70" s="248">
        <f>H70</f>
        <v>0.1</v>
      </c>
    </row>
    <row r="71" spans="2:9" ht="14.45" x14ac:dyDescent="0.3">
      <c r="C71" s="745" t="s">
        <v>38</v>
      </c>
      <c r="D71" s="401">
        <v>15027.869999999999</v>
      </c>
      <c r="E71" s="745">
        <v>1</v>
      </c>
      <c r="F71" s="745">
        <v>7.5</v>
      </c>
      <c r="G71" s="400">
        <f t="shared" si="15"/>
        <v>2003.7159999999999</v>
      </c>
      <c r="H71" s="248">
        <f t="shared" si="16"/>
        <v>0.13333333333333333</v>
      </c>
      <c r="I71" s="248">
        <f>H71</f>
        <v>0.13333333333333333</v>
      </c>
    </row>
    <row r="72" spans="2:9" ht="14.45" x14ac:dyDescent="0.3">
      <c r="C72" s="745" t="s">
        <v>40</v>
      </c>
      <c r="D72" s="401">
        <v>42900</v>
      </c>
      <c r="E72" s="745">
        <v>1</v>
      </c>
      <c r="F72" s="745">
        <v>15</v>
      </c>
      <c r="G72" s="400">
        <f t="shared" si="15"/>
        <v>2860</v>
      </c>
      <c r="H72" s="248">
        <f t="shared" si="16"/>
        <v>6.6666666666666666E-2</v>
      </c>
      <c r="I72" s="248">
        <f>H72</f>
        <v>6.6666666666666666E-2</v>
      </c>
    </row>
    <row r="73" spans="2:9" ht="14.45" x14ac:dyDescent="0.3">
      <c r="B73" s="745" t="s">
        <v>425</v>
      </c>
      <c r="D73" s="401"/>
      <c r="G73" s="400"/>
      <c r="H73" s="248"/>
    </row>
    <row r="74" spans="2:9" ht="14.45" x14ac:dyDescent="0.3">
      <c r="C74" s="745" t="s">
        <v>42</v>
      </c>
      <c r="D74" s="401">
        <v>88000</v>
      </c>
      <c r="E74" s="745">
        <v>1</v>
      </c>
      <c r="F74" s="745">
        <v>10</v>
      </c>
      <c r="G74" s="400">
        <f t="shared" ref="G74:G76" si="17">D74*E74*H74</f>
        <v>8800</v>
      </c>
      <c r="H74" s="248">
        <f t="shared" ref="H74:H76" si="18">1/F74</f>
        <v>0.1</v>
      </c>
    </row>
    <row r="75" spans="2:9" x14ac:dyDescent="0.25">
      <c r="C75" s="745" t="s">
        <v>426</v>
      </c>
      <c r="D75" s="401">
        <v>472297.5</v>
      </c>
      <c r="E75" s="745">
        <v>1</v>
      </c>
      <c r="F75" s="745">
        <v>50</v>
      </c>
      <c r="G75" s="400">
        <f t="shared" si="17"/>
        <v>9445.9500000000007</v>
      </c>
      <c r="H75" s="248">
        <f t="shared" si="18"/>
        <v>0.02</v>
      </c>
      <c r="I75" s="248">
        <f>H75</f>
        <v>0.02</v>
      </c>
    </row>
    <row r="76" spans="2:9" x14ac:dyDescent="0.25">
      <c r="C76" s="745" t="s">
        <v>433</v>
      </c>
      <c r="D76" s="401">
        <v>65452.53</v>
      </c>
      <c r="E76" s="745">
        <v>1</v>
      </c>
      <c r="F76" s="745">
        <v>10</v>
      </c>
      <c r="G76" s="400">
        <f t="shared" si="17"/>
        <v>6545.2530000000006</v>
      </c>
      <c r="H76" s="248">
        <f t="shared" si="18"/>
        <v>0.1</v>
      </c>
    </row>
    <row r="77" spans="2:9" x14ac:dyDescent="0.25">
      <c r="D77" s="401"/>
      <c r="G77" s="400"/>
    </row>
    <row r="78" spans="2:9" x14ac:dyDescent="0.25">
      <c r="B78" s="288" t="s">
        <v>80</v>
      </c>
      <c r="C78" s="288"/>
      <c r="D78" s="105">
        <f>SUM(D59:D76)</f>
        <v>806580.68</v>
      </c>
      <c r="E78" s="288"/>
      <c r="F78" s="288"/>
      <c r="G78" s="170">
        <f>SUM(G59:G76)</f>
        <v>39208.749000000003</v>
      </c>
      <c r="H78" s="582">
        <f>SUM(H59:H76)</f>
        <v>1.22</v>
      </c>
      <c r="I78" s="583">
        <f>SUM(I59:I76)</f>
        <v>0.64500000000000002</v>
      </c>
    </row>
    <row r="79" spans="2:9" x14ac:dyDescent="0.25">
      <c r="D79" s="401"/>
      <c r="E79" s="584"/>
      <c r="F79" s="584"/>
      <c r="G79" s="584"/>
      <c r="H79" s="585"/>
    </row>
    <row r="80" spans="2:9" x14ac:dyDescent="0.25">
      <c r="B80" s="479" t="s">
        <v>415</v>
      </c>
      <c r="C80" s="479"/>
      <c r="D80" s="587">
        <f>G78/E32</f>
        <v>108.91319166666668</v>
      </c>
      <c r="E80" s="584"/>
      <c r="F80" s="584"/>
      <c r="G80" s="586"/>
      <c r="H80" s="584"/>
    </row>
    <row r="81" spans="1:12" x14ac:dyDescent="0.25">
      <c r="E81" s="407"/>
      <c r="F81" s="407"/>
      <c r="G81" s="407"/>
      <c r="H81" s="407"/>
    </row>
    <row r="82" spans="1:12" x14ac:dyDescent="0.25">
      <c r="B82" s="745" t="s">
        <v>437</v>
      </c>
      <c r="D82" s="45">
        <v>0.97299999999999998</v>
      </c>
      <c r="E82" s="407"/>
      <c r="F82" s="407"/>
      <c r="G82" s="407"/>
      <c r="H82" s="407"/>
    </row>
    <row r="83" spans="1:12" x14ac:dyDescent="0.25">
      <c r="D83" s="45"/>
      <c r="E83" s="407"/>
      <c r="F83" s="407"/>
      <c r="G83" s="407"/>
      <c r="H83" s="407"/>
    </row>
    <row r="84" spans="1:12" x14ac:dyDescent="0.25">
      <c r="A84" s="595" t="s">
        <v>438</v>
      </c>
      <c r="E84" s="96" t="s">
        <v>259</v>
      </c>
      <c r="F84" s="389" t="s">
        <v>65</v>
      </c>
      <c r="G84" s="389"/>
      <c r="H84" s="389"/>
    </row>
    <row r="85" spans="1:12" x14ac:dyDescent="0.25">
      <c r="D85" s="459">
        <v>1</v>
      </c>
      <c r="E85" s="108">
        <v>10</v>
      </c>
      <c r="F85" s="108">
        <v>50</v>
      </c>
      <c r="G85" s="108">
        <v>100</v>
      </c>
      <c r="H85" s="391"/>
    </row>
    <row r="86" spans="1:12" x14ac:dyDescent="0.25">
      <c r="B86" s="288" t="s">
        <v>80</v>
      </c>
      <c r="C86" s="288"/>
      <c r="D86" s="170">
        <f>G54</f>
        <v>62737.9</v>
      </c>
      <c r="E86" s="105">
        <f>$D$86*E85^(LOG10($D$82)/LOG10(2))</f>
        <v>57285.10160989975</v>
      </c>
      <c r="F86" s="105">
        <f>$D$86*F85^(LOG10($D$82)/LOG10(2))</f>
        <v>53757.684932353674</v>
      </c>
      <c r="G86" s="105">
        <f>G78</f>
        <v>39208.749000000003</v>
      </c>
      <c r="H86" s="388"/>
    </row>
    <row r="88" spans="1:12" x14ac:dyDescent="0.25">
      <c r="E88" s="464"/>
    </row>
    <row r="90" spans="1:12" x14ac:dyDescent="0.25">
      <c r="A90" s="595" t="s">
        <v>148</v>
      </c>
    </row>
    <row r="91" spans="1:12" x14ac:dyDescent="0.25">
      <c r="A91" s="745">
        <v>2.5</v>
      </c>
      <c r="B91" s="745" t="s">
        <v>474</v>
      </c>
    </row>
    <row r="92" spans="1:12" x14ac:dyDescent="0.25">
      <c r="K92" s="407"/>
      <c r="L92" s="407"/>
    </row>
    <row r="93" spans="1:12" x14ac:dyDescent="0.25">
      <c r="B93" s="198"/>
      <c r="C93" s="198"/>
      <c r="D93" s="198"/>
      <c r="E93" s="199"/>
      <c r="F93" s="28"/>
      <c r="G93" s="28"/>
      <c r="H93" s="28"/>
      <c r="I93" s="28"/>
      <c r="J93" s="28"/>
      <c r="K93" s="200"/>
      <c r="L93" s="81"/>
    </row>
    <row r="94" spans="1:12" x14ac:dyDescent="0.25">
      <c r="A94" s="595" t="s">
        <v>212</v>
      </c>
      <c r="B94" s="198"/>
      <c r="C94" s="198"/>
      <c r="D94" s="198"/>
      <c r="E94" s="199"/>
      <c r="F94" s="28"/>
      <c r="G94" s="28"/>
      <c r="H94" s="28"/>
      <c r="I94" s="28"/>
      <c r="J94" s="28"/>
      <c r="K94" s="200"/>
      <c r="L94" s="81"/>
    </row>
    <row r="95" spans="1:12" x14ac:dyDescent="0.25">
      <c r="A95" s="745">
        <v>2.5</v>
      </c>
      <c r="B95" s="481" t="s">
        <v>284</v>
      </c>
      <c r="C95" s="481"/>
      <c r="D95" s="481"/>
      <c r="E95" s="481"/>
      <c r="F95" s="28"/>
      <c r="G95" s="28"/>
      <c r="H95" s="28"/>
      <c r="I95" s="28"/>
      <c r="J95" s="28"/>
      <c r="K95" s="200"/>
      <c r="L95" s="81"/>
    </row>
    <row r="96" spans="1:12" x14ac:dyDescent="0.25">
      <c r="B96" s="481"/>
      <c r="C96" s="481"/>
      <c r="D96" s="481"/>
      <c r="E96" s="481"/>
      <c r="F96" s="28"/>
      <c r="G96" s="28"/>
      <c r="H96" s="28"/>
      <c r="I96" s="28"/>
      <c r="J96" s="28"/>
      <c r="K96" s="200"/>
      <c r="L96" s="81"/>
    </row>
    <row r="97" spans="1:12" x14ac:dyDescent="0.25">
      <c r="B97" s="481"/>
      <c r="C97" s="481"/>
      <c r="D97" s="481"/>
      <c r="E97" s="481"/>
      <c r="F97" s="28"/>
      <c r="G97" s="28"/>
      <c r="H97" s="28"/>
      <c r="I97" s="28"/>
      <c r="J97" s="28"/>
      <c r="K97" s="200"/>
      <c r="L97" s="81"/>
    </row>
    <row r="98" spans="1:12" x14ac:dyDescent="0.25">
      <c r="B98" s="481"/>
      <c r="C98" s="481"/>
      <c r="D98" s="481"/>
      <c r="E98" s="481"/>
      <c r="F98" s="28"/>
      <c r="G98" s="28"/>
      <c r="H98" s="28"/>
      <c r="I98" s="28"/>
      <c r="J98" s="28"/>
      <c r="K98" s="200"/>
      <c r="L98" s="81"/>
    </row>
    <row r="99" spans="1:12" x14ac:dyDescent="0.25">
      <c r="A99" s="21"/>
      <c r="B99" s="481"/>
      <c r="C99" s="481"/>
      <c r="D99" s="481"/>
      <c r="E99" s="481"/>
      <c r="F99" s="28"/>
      <c r="G99" s="28"/>
      <c r="H99" s="28"/>
      <c r="I99" s="28"/>
      <c r="J99" s="28"/>
      <c r="K99" s="200"/>
      <c r="L99" s="81"/>
    </row>
    <row r="100" spans="1:12" x14ac:dyDescent="0.25">
      <c r="B100" s="481"/>
      <c r="C100" s="481"/>
      <c r="D100" s="481"/>
      <c r="E100" s="481"/>
      <c r="F100" s="28"/>
      <c r="G100" s="28"/>
      <c r="H100" s="28"/>
      <c r="I100" s="28"/>
      <c r="J100" s="28"/>
      <c r="K100" s="200"/>
      <c r="L100" s="81"/>
    </row>
    <row r="101" spans="1:12" x14ac:dyDescent="0.25">
      <c r="B101" s="481"/>
      <c r="C101" s="481"/>
      <c r="D101" s="481"/>
      <c r="E101" s="481"/>
      <c r="F101" s="28"/>
      <c r="G101" s="28"/>
      <c r="H101" s="28"/>
      <c r="I101" s="28"/>
      <c r="J101" s="28"/>
      <c r="K101" s="200"/>
      <c r="L101" s="81"/>
    </row>
    <row r="102" spans="1:12" x14ac:dyDescent="0.25">
      <c r="B102" s="481"/>
      <c r="C102" s="481"/>
      <c r="D102" s="481"/>
      <c r="E102" s="481"/>
      <c r="F102" s="28"/>
      <c r="G102" s="28"/>
      <c r="H102" s="28"/>
      <c r="I102" s="28"/>
      <c r="J102" s="28"/>
      <c r="K102" s="200"/>
      <c r="L102" s="81"/>
    </row>
    <row r="103" spans="1:12" x14ac:dyDescent="0.25">
      <c r="B103" s="481"/>
      <c r="C103" s="481"/>
      <c r="D103" s="481"/>
      <c r="E103" s="481"/>
      <c r="F103" s="28"/>
      <c r="G103" s="28"/>
      <c r="H103" s="28"/>
      <c r="I103" s="28"/>
      <c r="J103" s="28"/>
      <c r="K103" s="200"/>
      <c r="L103" s="81"/>
    </row>
    <row r="104" spans="1:12" x14ac:dyDescent="0.25">
      <c r="B104" s="481"/>
      <c r="C104" s="481"/>
      <c r="D104" s="481"/>
      <c r="E104" s="481"/>
      <c r="F104" s="28"/>
      <c r="G104" s="28"/>
      <c r="H104" s="28"/>
      <c r="I104" s="28"/>
      <c r="J104" s="28"/>
      <c r="K104" s="200"/>
      <c r="L104" s="81"/>
    </row>
    <row r="105" spans="1:12" x14ac:dyDescent="0.25">
      <c r="B105" s="481"/>
      <c r="C105" s="481"/>
      <c r="D105" s="481"/>
      <c r="E105" s="481"/>
      <c r="F105" s="28"/>
      <c r="G105" s="28"/>
      <c r="H105" s="28"/>
      <c r="I105" s="28"/>
      <c r="J105" s="28"/>
      <c r="K105" s="200"/>
      <c r="L105" s="81"/>
    </row>
    <row r="106" spans="1:12" x14ac:dyDescent="0.25">
      <c r="B106" s="481"/>
      <c r="C106" s="481"/>
      <c r="D106" s="481"/>
      <c r="E106" s="481"/>
      <c r="F106" s="28"/>
      <c r="G106" s="28"/>
      <c r="H106" s="28"/>
      <c r="I106" s="28"/>
      <c r="J106" s="28"/>
      <c r="K106" s="200"/>
      <c r="L106" s="81"/>
    </row>
    <row r="107" spans="1:12" x14ac:dyDescent="0.25">
      <c r="D107" s="479"/>
      <c r="E107" s="479"/>
      <c r="F107" s="434"/>
      <c r="G107" s="434"/>
      <c r="H107" s="434"/>
      <c r="I107" s="434"/>
      <c r="J107" s="434"/>
      <c r="K107" s="434"/>
      <c r="L107" s="23"/>
    </row>
  </sheetData>
  <mergeCells count="1">
    <mergeCell ref="E3:H3"/>
  </mergeCells>
  <dataValidations disablePrompts="1" count="2">
    <dataValidation type="list" showInputMessage="1" showErrorMessage="1" sqref="E93:E106">
      <formula1>$V$4:$V$88</formula1>
    </dataValidation>
    <dataValidation type="list" showInputMessage="1" showErrorMessage="1" sqref="O10:O22">
      <formula1>$E$4:$E$16</formula1>
    </dataValidation>
  </dataValidations>
  <hyperlinks>
    <hyperlink ref="K2" r:id="rId1" location="images_top"/>
    <hyperlink ref="K3" r:id="rId2"/>
  </hyperlinks>
  <pageMargins left="0.7" right="0.7" top="0.75" bottom="0.75" header="0.3" footer="0.3"/>
  <pageSetup orientation="portrait" horizontalDpi="4294967293"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Q155"/>
  <sheetViews>
    <sheetView zoomScale="90" zoomScaleNormal="90" zoomScalePageLayoutView="70" workbookViewId="0">
      <selection activeCell="B42" sqref="B42:H42"/>
    </sheetView>
  </sheetViews>
  <sheetFormatPr defaultColWidth="8.85546875" defaultRowHeight="15" x14ac:dyDescent="0.25"/>
  <cols>
    <col min="1" max="1" width="4.7109375" customWidth="1"/>
    <col min="2" max="2" width="5.85546875" customWidth="1"/>
    <col min="3" max="3" width="20.28515625" customWidth="1"/>
    <col min="4" max="4" width="14.42578125" customWidth="1"/>
    <col min="5" max="5" width="15.28515625" customWidth="1"/>
    <col min="6" max="6" width="13.28515625" customWidth="1"/>
    <col min="7" max="7" width="13.7109375" customWidth="1"/>
    <col min="8" max="8" width="14.28515625" style="68" bestFit="1" customWidth="1"/>
    <col min="9" max="9" width="20" style="68" customWidth="1"/>
    <col min="10" max="10" width="14.42578125" style="68" customWidth="1"/>
    <col min="11" max="11" width="13.140625" customWidth="1"/>
    <col min="12" max="12" width="14.42578125" customWidth="1"/>
    <col min="13" max="13" width="17.140625" customWidth="1"/>
    <col min="14" max="14" width="20" customWidth="1"/>
    <col min="15" max="15" width="14.85546875" customWidth="1"/>
    <col min="16" max="16" width="13.28515625" customWidth="1"/>
    <col min="17" max="17" width="10.7109375" customWidth="1"/>
    <col min="18" max="18" width="11.42578125" customWidth="1"/>
    <col min="19" max="19" width="12.7109375" customWidth="1"/>
    <col min="20" max="20" width="12.42578125" customWidth="1"/>
    <col min="21" max="21" width="11.42578125" customWidth="1"/>
    <col min="22" max="22" width="16.140625" customWidth="1"/>
    <col min="23" max="23" width="13.7109375" customWidth="1"/>
  </cols>
  <sheetData>
    <row r="1" spans="1:11" x14ac:dyDescent="0.25">
      <c r="A1" s="427" t="s">
        <v>373</v>
      </c>
      <c r="C1" s="35"/>
      <c r="D1" s="35"/>
      <c r="E1" s="35"/>
      <c r="F1" s="35"/>
    </row>
    <row r="2" spans="1:11" s="68" customFormat="1" ht="15.75" thickBot="1" x14ac:dyDescent="0.3">
      <c r="A2" s="57"/>
      <c r="I2" s="107"/>
      <c r="J2" s="595"/>
      <c r="K2" s="107"/>
    </row>
    <row r="3" spans="1:11" x14ac:dyDescent="0.25">
      <c r="A3" s="835"/>
      <c r="B3" s="836"/>
      <c r="C3" s="836"/>
      <c r="D3" s="836"/>
      <c r="E3" s="1254" t="s">
        <v>141</v>
      </c>
      <c r="F3" s="1254"/>
      <c r="G3" s="1254"/>
      <c r="H3" s="1255"/>
      <c r="J3" s="745"/>
      <c r="K3" s="107"/>
    </row>
    <row r="4" spans="1:11" x14ac:dyDescent="0.25">
      <c r="A4" s="968" t="s">
        <v>109</v>
      </c>
      <c r="B4" s="990"/>
      <c r="C4" s="990"/>
      <c r="D4" s="990"/>
      <c r="E4" s="964">
        <v>1</v>
      </c>
      <c r="F4" s="964">
        <v>10</v>
      </c>
      <c r="G4" s="964">
        <v>50</v>
      </c>
      <c r="H4" s="962">
        <v>100</v>
      </c>
      <c r="I4" s="61"/>
      <c r="J4" s="407"/>
      <c r="K4" s="755"/>
    </row>
    <row r="5" spans="1:11" ht="15.75" thickBot="1" x14ac:dyDescent="0.3">
      <c r="A5" s="845"/>
      <c r="B5" s="846">
        <v>2.5</v>
      </c>
      <c r="C5" s="846" t="s">
        <v>55</v>
      </c>
      <c r="D5" s="846"/>
      <c r="E5" s="965">
        <f>D138</f>
        <v>63865.870810332555</v>
      </c>
      <c r="F5" s="965">
        <f t="shared" ref="F5:H5" si="0">E138</f>
        <v>48197.097589425961</v>
      </c>
      <c r="G5" s="965">
        <f t="shared" si="0"/>
        <v>43453.459626435157</v>
      </c>
      <c r="H5" s="960">
        <f t="shared" si="0"/>
        <v>41904.806545043728</v>
      </c>
      <c r="I5" s="43"/>
      <c r="J5" s="389"/>
      <c r="K5" s="745"/>
    </row>
    <row r="7" spans="1:11" s="478" customFormat="1" x14ac:dyDescent="0.25"/>
    <row r="8" spans="1:11" s="478" customFormat="1" x14ac:dyDescent="0.25"/>
    <row r="9" spans="1:11" s="478" customFormat="1" x14ac:dyDescent="0.25">
      <c r="A9" s="427" t="s">
        <v>707</v>
      </c>
      <c r="E9" s="424">
        <f>'Performance &amp; Economics'!E17</f>
        <v>360.28</v>
      </c>
      <c r="F9" s="427" t="s">
        <v>139</v>
      </c>
    </row>
    <row r="10" spans="1:11" s="478" customFormat="1" x14ac:dyDescent="0.25">
      <c r="B10" s="1256" t="s">
        <v>986</v>
      </c>
      <c r="C10" s="1256"/>
      <c r="D10" s="1257"/>
      <c r="E10" s="1257"/>
      <c r="F10" s="1257"/>
      <c r="G10" s="1257"/>
      <c r="H10" s="1257"/>
    </row>
    <row r="11" spans="1:11" s="985" customFormat="1" x14ac:dyDescent="0.25">
      <c r="B11" s="1055"/>
      <c r="C11" s="1056"/>
      <c r="D11" s="1054" t="s">
        <v>427</v>
      </c>
      <c r="E11" s="1053" t="s">
        <v>141</v>
      </c>
      <c r="F11" s="1053" t="s">
        <v>428</v>
      </c>
      <c r="G11" s="1053" t="s">
        <v>429</v>
      </c>
      <c r="H11" s="1053" t="s">
        <v>430</v>
      </c>
    </row>
    <row r="12" spans="1:11" s="478" customFormat="1" x14ac:dyDescent="0.25">
      <c r="B12" s="1261" t="s">
        <v>37</v>
      </c>
      <c r="C12" s="1262"/>
      <c r="D12" s="1259"/>
      <c r="E12" s="1259"/>
      <c r="F12" s="1259"/>
      <c r="G12" s="1259"/>
      <c r="H12" s="1259"/>
      <c r="I12" s="407" t="s">
        <v>434</v>
      </c>
      <c r="J12" s="949" t="s">
        <v>928</v>
      </c>
    </row>
    <row r="13" spans="1:11" s="478" customFormat="1" x14ac:dyDescent="0.25">
      <c r="B13" s="239"/>
      <c r="C13" s="239" t="str">
        <f>'1.5'!E23</f>
        <v>Hydraulic Cylinder</v>
      </c>
      <c r="D13" s="1046">
        <f>VLOOKUP(C13,'1.5'!$E$23:$Q$46,11,FALSE)</f>
        <v>28000</v>
      </c>
      <c r="E13" s="1047">
        <f>VLOOKUP(C13,'1.5'!$E$23:$Q$46,12,FALSE)</f>
        <v>2</v>
      </c>
      <c r="F13" s="239">
        <v>8</v>
      </c>
      <c r="G13" s="1061">
        <f>D13*E13*H13</f>
        <v>7000</v>
      </c>
      <c r="H13" s="1048">
        <f>1/F13</f>
        <v>0.125</v>
      </c>
      <c r="I13" s="248">
        <f>H13</f>
        <v>0.125</v>
      </c>
      <c r="J13" s="478" t="s">
        <v>930</v>
      </c>
    </row>
    <row r="14" spans="1:11" s="478" customFormat="1" x14ac:dyDescent="0.25">
      <c r="B14" s="239"/>
      <c r="C14" s="239" t="str">
        <f>'1.5'!E25</f>
        <v>Hydraulic Motor</v>
      </c>
      <c r="D14" s="1046">
        <f>VLOOKUP(C14,'1.5'!$E$23:$Q$46,11,FALSE)</f>
        <v>14500</v>
      </c>
      <c r="E14" s="1047">
        <f>VLOOKUP(C14,'1.5'!$E$23:$Q$46,12,FALSE)</f>
        <v>1</v>
      </c>
      <c r="F14" s="239">
        <v>5</v>
      </c>
      <c r="G14" s="1061">
        <f>D14*E14*H14</f>
        <v>2900</v>
      </c>
      <c r="H14" s="1048">
        <f t="shared" ref="H14:H16" si="1">1/F14</f>
        <v>0.2</v>
      </c>
      <c r="I14" s="248">
        <v>0.2</v>
      </c>
      <c r="J14" s="478" t="s">
        <v>930</v>
      </c>
    </row>
    <row r="15" spans="1:11" s="478" customFormat="1" x14ac:dyDescent="0.25">
      <c r="B15" s="239"/>
      <c r="C15" s="239" t="str">
        <f>'1.5'!E27</f>
        <v>High Pressure Accumulators</v>
      </c>
      <c r="D15" s="1046">
        <f>VLOOKUP(C15,'1.5'!$E$23:$Q$46,11,FALSE)</f>
        <v>2989.8461538461538</v>
      </c>
      <c r="E15" s="1047">
        <f>VLOOKUP(C15,'1.5'!$E$23:$Q$46,12,FALSE)</f>
        <v>13</v>
      </c>
      <c r="F15" s="1049">
        <v>12</v>
      </c>
      <c r="G15" s="1046">
        <f t="shared" ref="G15:G16" si="2">D15*E15*H15</f>
        <v>3239</v>
      </c>
      <c r="H15" s="1050">
        <f t="shared" si="1"/>
        <v>8.3333333333333329E-2</v>
      </c>
      <c r="I15" s="782"/>
      <c r="J15" s="945" t="s">
        <v>929</v>
      </c>
    </row>
    <row r="16" spans="1:11" s="945" customFormat="1" x14ac:dyDescent="0.25">
      <c r="B16" s="239"/>
      <c r="C16" s="239" t="str">
        <f>'1.5'!E28</f>
        <v>Releif Valves</v>
      </c>
      <c r="D16" s="1046">
        <f>VLOOKUP(C16,'1.5'!$E$23:$Q$46,11,FALSE)</f>
        <v>178</v>
      </c>
      <c r="E16" s="1047">
        <f>VLOOKUP(C16,'1.5'!$E$23:$Q$46,12,FALSE)</f>
        <v>4</v>
      </c>
      <c r="F16" s="1049">
        <v>5</v>
      </c>
      <c r="G16" s="1061">
        <f t="shared" si="2"/>
        <v>142.4</v>
      </c>
      <c r="H16" s="1048">
        <f t="shared" si="1"/>
        <v>0.2</v>
      </c>
      <c r="I16" s="952"/>
    </row>
    <row r="17" spans="2:10" s="945" customFormat="1" x14ac:dyDescent="0.25">
      <c r="B17" s="239"/>
      <c r="C17" s="239" t="str">
        <f>'1.5'!E29</f>
        <v xml:space="preserve">Check Valves </v>
      </c>
      <c r="D17" s="1046">
        <f>VLOOKUP(C17,'1.5'!$E$23:$Q$46,11,FALSE)</f>
        <v>1150</v>
      </c>
      <c r="E17" s="1047">
        <f>VLOOKUP(C17,'1.5'!$E$23:$Q$46,12,FALSE)</f>
        <v>8</v>
      </c>
      <c r="F17" s="1049"/>
      <c r="G17" s="1061"/>
      <c r="H17" s="1048"/>
      <c r="I17" s="952"/>
    </row>
    <row r="18" spans="2:10" s="478" customFormat="1" x14ac:dyDescent="0.25">
      <c r="B18" s="239"/>
      <c r="C18" s="239" t="str">
        <f>'1.5'!E30</f>
        <v xml:space="preserve">Solenoid Valves </v>
      </c>
      <c r="D18" s="1046">
        <f>VLOOKUP(C18,'1.5'!$E$23:$Q$46,11,FALSE)</f>
        <v>3345.8041958041958</v>
      </c>
      <c r="E18" s="1047">
        <f>VLOOKUP(C18,'1.5'!$E$23:$Q$46,12,FALSE)</f>
        <v>1</v>
      </c>
      <c r="F18" s="1049"/>
      <c r="G18" s="1046"/>
      <c r="H18" s="1050"/>
      <c r="I18" s="782"/>
    </row>
    <row r="19" spans="2:10" s="945" customFormat="1" x14ac:dyDescent="0.25">
      <c r="B19" s="239"/>
      <c r="C19" s="239" t="str">
        <f>'1.5'!E31</f>
        <v>Valve Subplate</v>
      </c>
      <c r="D19" s="1046">
        <f>VLOOKUP(C19,'1.5'!$E$23:$Q$46,11,FALSE)</f>
        <v>2457.3426573426573</v>
      </c>
      <c r="E19" s="1047">
        <f>VLOOKUP(C19,'1.5'!$E$23:$Q$46,12,FALSE)</f>
        <v>1</v>
      </c>
      <c r="F19" s="1049"/>
      <c r="G19" s="1061"/>
      <c r="H19" s="1048"/>
      <c r="I19" s="952"/>
    </row>
    <row r="20" spans="2:10" s="945" customFormat="1" x14ac:dyDescent="0.25">
      <c r="B20" s="239"/>
      <c r="C20" s="239" t="str">
        <f>'1.5'!E32</f>
        <v>Pressure Transducers</v>
      </c>
      <c r="D20" s="1046">
        <f>VLOOKUP(C20,'1.5'!$E$23:$Q$46,11,FALSE)</f>
        <v>788.11188811188811</v>
      </c>
      <c r="E20" s="1047">
        <f>VLOOKUP(C20,'1.5'!$E$23:$Q$46,12,FALSE)</f>
        <v>1</v>
      </c>
      <c r="F20" s="1049">
        <v>8</v>
      </c>
      <c r="G20" s="1061">
        <f t="shared" ref="G20:G22" si="3">D20*E20*H20</f>
        <v>98.513986013986013</v>
      </c>
      <c r="H20" s="1048">
        <f t="shared" ref="H20:H22" si="4">1/F20</f>
        <v>0.125</v>
      </c>
      <c r="I20" s="952"/>
      <c r="J20" s="945" t="s">
        <v>930</v>
      </c>
    </row>
    <row r="21" spans="2:10" s="945" customFormat="1" x14ac:dyDescent="0.25">
      <c r="B21" s="239"/>
      <c r="C21" s="239" t="str">
        <f>'1.5'!E33</f>
        <v>High Pressure Filter</v>
      </c>
      <c r="D21" s="1046">
        <f>VLOOKUP(C21,'1.5'!$E$23:$Q$46,11,FALSE)</f>
        <v>950</v>
      </c>
      <c r="E21" s="1047">
        <f>VLOOKUP(C21,'1.5'!$E$23:$Q$46,12,FALSE)</f>
        <v>3</v>
      </c>
      <c r="F21" s="1049">
        <v>4</v>
      </c>
      <c r="G21" s="1046">
        <f t="shared" si="3"/>
        <v>712.5</v>
      </c>
      <c r="H21" s="1050">
        <f t="shared" si="4"/>
        <v>0.25</v>
      </c>
      <c r="I21" s="782"/>
      <c r="J21" s="945" t="s">
        <v>931</v>
      </c>
    </row>
    <row r="22" spans="2:10" s="945" customFormat="1" x14ac:dyDescent="0.25">
      <c r="B22" s="239"/>
      <c r="C22" s="239" t="str">
        <f>'1.5'!E34</f>
        <v>Low Pressure Filter</v>
      </c>
      <c r="D22" s="1046">
        <f>VLOOKUP(C22,'1.5'!$E$23:$Q$46,11,FALSE)</f>
        <v>2900</v>
      </c>
      <c r="E22" s="1047">
        <f>VLOOKUP(C22,'1.5'!$E$23:$Q$46,12,FALSE)</f>
        <v>1</v>
      </c>
      <c r="F22" s="1049">
        <v>4</v>
      </c>
      <c r="G22" s="1061">
        <f t="shared" si="3"/>
        <v>725</v>
      </c>
      <c r="H22" s="1048">
        <f t="shared" si="4"/>
        <v>0.25</v>
      </c>
      <c r="I22" s="952"/>
      <c r="J22" s="945" t="s">
        <v>931</v>
      </c>
    </row>
    <row r="23" spans="2:10" s="945" customFormat="1" x14ac:dyDescent="0.25">
      <c r="B23" s="239"/>
      <c r="C23" s="239" t="str">
        <f>'1.5'!E35</f>
        <v>Reservoir</v>
      </c>
      <c r="D23" s="1046">
        <f>VLOOKUP(C23,'1.5'!$E$23:$Q$46,11,FALSE)</f>
        <v>72436.479128856619</v>
      </c>
      <c r="E23" s="1047">
        <f>VLOOKUP(C23,'1.5'!$E$23:$Q$46,12,FALSE)</f>
        <v>1</v>
      </c>
      <c r="F23" s="1049"/>
      <c r="G23" s="1061"/>
      <c r="H23" s="1048"/>
      <c r="I23" s="952"/>
    </row>
    <row r="24" spans="2:10" s="945" customFormat="1" ht="14.45" x14ac:dyDescent="0.3">
      <c r="B24" s="1258" t="s">
        <v>920</v>
      </c>
      <c r="C24" s="1259"/>
      <c r="D24" s="1259"/>
      <c r="E24" s="1259"/>
      <c r="F24" s="1259"/>
      <c r="G24" s="1259"/>
      <c r="H24" s="1260"/>
      <c r="I24" s="946"/>
    </row>
    <row r="25" spans="2:10" s="945" customFormat="1" ht="14.45" x14ac:dyDescent="0.3">
      <c r="B25" s="239"/>
      <c r="C25" s="239" t="str">
        <f>'1.5'!E24</f>
        <v>Generator</v>
      </c>
      <c r="D25" s="1046">
        <f>VLOOKUP(C25,'1.5'!$E$23:$Q$46,11,FALSE)</f>
        <v>33000</v>
      </c>
      <c r="E25" s="1047">
        <f>VLOOKUP(C25,'1.5'!$E$23:$Q$46,12,FALSE)</f>
        <v>1</v>
      </c>
      <c r="F25" s="1049">
        <v>10</v>
      </c>
      <c r="G25" s="1061">
        <f t="shared" ref="G25:G27" si="5">D25*E25*H25</f>
        <v>3300</v>
      </c>
      <c r="H25" s="1048">
        <f t="shared" ref="H25:H32" si="6">1/F25</f>
        <v>0.1</v>
      </c>
      <c r="I25" s="952">
        <f t="shared" ref="I25:I29" si="7">H25</f>
        <v>0.1</v>
      </c>
      <c r="J25" s="945" t="s">
        <v>930</v>
      </c>
    </row>
    <row r="26" spans="2:10" s="945" customFormat="1" ht="14.45" x14ac:dyDescent="0.3">
      <c r="B26" s="239"/>
      <c r="C26" s="239" t="str">
        <f>'1.5'!E39</f>
        <v>Frequency Converter</v>
      </c>
      <c r="D26" s="1046">
        <f>VLOOKUP(C26,'1.5'!$E$23:$Q$46,11,FALSE)</f>
        <v>73277</v>
      </c>
      <c r="E26" s="1047">
        <f>VLOOKUP(C26,'1.5'!$E$23:$Q$46,12,FALSE)</f>
        <v>1</v>
      </c>
      <c r="F26" s="1049">
        <v>7.5</v>
      </c>
      <c r="G26" s="1061">
        <f t="shared" si="5"/>
        <v>9770.2666666666664</v>
      </c>
      <c r="H26" s="1048">
        <f t="shared" si="6"/>
        <v>0.13333333333333333</v>
      </c>
      <c r="I26" s="782">
        <f t="shared" si="7"/>
        <v>0.13333333333333333</v>
      </c>
      <c r="J26" s="945" t="s">
        <v>930</v>
      </c>
    </row>
    <row r="27" spans="2:10" s="945" customFormat="1" ht="14.45" x14ac:dyDescent="0.3">
      <c r="B27" s="239"/>
      <c r="C27" s="239" t="str">
        <f>'1.5'!E41</f>
        <v>Step up Transformer</v>
      </c>
      <c r="D27" s="1046">
        <f>VLOOKUP(C27,'1.5'!$E$23:$Q$46,11,FALSE)</f>
        <v>17000</v>
      </c>
      <c r="E27" s="1047">
        <f>VLOOKUP(C27,'1.5'!$E$23:$Q$46,12,FALSE)</f>
        <v>1</v>
      </c>
      <c r="F27" s="1049">
        <v>15</v>
      </c>
      <c r="G27" s="1061">
        <f t="shared" si="5"/>
        <v>1133.3333333333333</v>
      </c>
      <c r="H27" s="1048">
        <f t="shared" si="6"/>
        <v>6.6666666666666666E-2</v>
      </c>
      <c r="I27" s="952">
        <f t="shared" si="7"/>
        <v>6.6666666666666666E-2</v>
      </c>
      <c r="J27" s="945" t="s">
        <v>930</v>
      </c>
    </row>
    <row r="28" spans="2:10" s="945" customFormat="1" ht="14.45" x14ac:dyDescent="0.3">
      <c r="B28" s="1258" t="s">
        <v>921</v>
      </c>
      <c r="C28" s="1259"/>
      <c r="D28" s="1259"/>
      <c r="E28" s="1259"/>
      <c r="F28" s="1259"/>
      <c r="G28" s="1259"/>
      <c r="H28" s="1260"/>
      <c r="I28" s="952"/>
    </row>
    <row r="29" spans="2:10" s="945" customFormat="1" ht="14.45" x14ac:dyDescent="0.3">
      <c r="B29" s="239"/>
      <c r="C29" s="239" t="str">
        <f>'1.5'!E26</f>
        <v>Motor to Generator Coupling</v>
      </c>
      <c r="D29" s="1046">
        <f>VLOOKUP(C29,'1.5'!$E$23:$Q$46,11,FALSE)</f>
        <v>330</v>
      </c>
      <c r="E29" s="1047">
        <f>VLOOKUP(C29,'1.5'!$E$23:$Q$46,12,FALSE)</f>
        <v>1</v>
      </c>
      <c r="F29" s="1049">
        <v>20</v>
      </c>
      <c r="G29" s="1061">
        <f t="shared" ref="G29:G32" si="8">D29*E29*H29</f>
        <v>16.5</v>
      </c>
      <c r="H29" s="1048">
        <f t="shared" si="6"/>
        <v>0.05</v>
      </c>
      <c r="I29" s="952">
        <f t="shared" si="7"/>
        <v>0.05</v>
      </c>
    </row>
    <row r="30" spans="2:10" s="945" customFormat="1" ht="14.45" x14ac:dyDescent="0.3">
      <c r="B30" s="239"/>
      <c r="C30" s="239" t="str">
        <f>'1.5'!E45</f>
        <v>Hinge/Flap Bearings</v>
      </c>
      <c r="D30" s="1046">
        <f>VLOOKUP(C30,'1.5'!$E$23:$Q$46,11,FALSE)</f>
        <v>7500</v>
      </c>
      <c r="E30" s="1047">
        <f>VLOOKUP(C30,'1.5'!$E$23:$Q$46,12,FALSE)</f>
        <v>2</v>
      </c>
      <c r="F30" s="1049">
        <v>20</v>
      </c>
      <c r="G30" s="1061">
        <f t="shared" si="8"/>
        <v>750</v>
      </c>
      <c r="H30" s="1048">
        <f t="shared" si="6"/>
        <v>0.05</v>
      </c>
      <c r="I30" s="952">
        <f>H30</f>
        <v>0.05</v>
      </c>
      <c r="J30" s="945" t="s">
        <v>930</v>
      </c>
    </row>
    <row r="31" spans="2:10" s="945" customFormat="1" ht="14.45" x14ac:dyDescent="0.3">
      <c r="B31" s="239"/>
      <c r="C31" s="239" t="s">
        <v>42</v>
      </c>
      <c r="D31" s="1046">
        <f>'1.2'!D38</f>
        <v>88000</v>
      </c>
      <c r="E31" s="1047">
        <v>1</v>
      </c>
      <c r="F31" s="1049">
        <v>10</v>
      </c>
      <c r="G31" s="1061">
        <f t="shared" si="8"/>
        <v>8800</v>
      </c>
      <c r="H31" s="1050">
        <f t="shared" si="6"/>
        <v>0.1</v>
      </c>
      <c r="I31" s="782"/>
      <c r="J31" s="945" t="s">
        <v>930</v>
      </c>
    </row>
    <row r="32" spans="2:10" s="945" customFormat="1" ht="14.45" x14ac:dyDescent="0.3">
      <c r="B32" s="239"/>
      <c r="C32" s="239" t="s">
        <v>922</v>
      </c>
      <c r="D32" s="1046">
        <f>'1.3'!F10/'1.3'!F3</f>
        <v>1263917.8412159286</v>
      </c>
      <c r="E32" s="1047">
        <v>1</v>
      </c>
      <c r="F32" s="1049">
        <v>50</v>
      </c>
      <c r="G32" s="1046">
        <f t="shared" si="8"/>
        <v>25278.356824318573</v>
      </c>
      <c r="H32" s="1050">
        <f t="shared" si="6"/>
        <v>0.02</v>
      </c>
      <c r="I32" s="782">
        <f>H32</f>
        <v>0.02</v>
      </c>
    </row>
    <row r="33" spans="1:10" s="945" customFormat="1" ht="14.45" x14ac:dyDescent="0.3">
      <c r="B33" s="239"/>
      <c r="C33" s="239"/>
      <c r="D33" s="1052"/>
      <c r="E33" s="1051"/>
      <c r="F33" s="1049"/>
      <c r="G33" s="1046"/>
      <c r="H33" s="1050"/>
      <c r="I33" s="946"/>
    </row>
    <row r="34" spans="1:10" s="945" customFormat="1" thickBot="1" x14ac:dyDescent="0.35">
      <c r="A34" s="846"/>
      <c r="B34" s="1258" t="s">
        <v>80</v>
      </c>
      <c r="C34" s="1260"/>
      <c r="D34" s="1058">
        <f>SUM(D13:D32)</f>
        <v>1612720.4252398901</v>
      </c>
      <c r="E34" s="1059"/>
      <c r="F34" s="1057"/>
      <c r="G34" s="1062">
        <f>SUM(G13:G32)</f>
        <v>63865.870810332555</v>
      </c>
      <c r="H34" s="1060">
        <f t="shared" ref="H34:I34" si="9">SUM(H13:H32)</f>
        <v>1.7533333333333336</v>
      </c>
      <c r="I34" s="1045">
        <f t="shared" si="9"/>
        <v>0.74500000000000011</v>
      </c>
      <c r="J34" s="846"/>
    </row>
    <row r="35" spans="1:10" s="945" customFormat="1" ht="14.45" x14ac:dyDescent="0.3">
      <c r="D35" s="954"/>
      <c r="E35" s="783"/>
      <c r="F35" s="946"/>
      <c r="G35" s="781"/>
      <c r="H35" s="782"/>
      <c r="I35" s="946"/>
    </row>
    <row r="36" spans="1:10" s="478" customFormat="1" ht="14.45" x14ac:dyDescent="0.3">
      <c r="A36" s="427" t="s">
        <v>955</v>
      </c>
      <c r="E36" s="407"/>
      <c r="F36" s="407"/>
      <c r="G36" s="407"/>
      <c r="H36" s="407"/>
    </row>
    <row r="37" spans="1:10" s="945" customFormat="1" ht="14.45" x14ac:dyDescent="0.3">
      <c r="A37" s="947"/>
      <c r="B37" s="945" t="s">
        <v>952</v>
      </c>
      <c r="E37" s="949"/>
      <c r="F37" s="949"/>
      <c r="G37" s="949"/>
      <c r="H37" s="949"/>
    </row>
    <row r="38" spans="1:10" s="945" customFormat="1" ht="14.45" x14ac:dyDescent="0.3">
      <c r="A38" s="947"/>
      <c r="C38" s="945" t="s">
        <v>953</v>
      </c>
      <c r="D38" s="45">
        <f>'1.5'!K5</f>
        <v>0.97260000000000002</v>
      </c>
      <c r="E38" s="384" t="s">
        <v>954</v>
      </c>
      <c r="F38" s="949"/>
      <c r="G38" s="949"/>
      <c r="H38" s="949"/>
    </row>
    <row r="39" spans="1:10" s="945" customFormat="1" ht="14.45" x14ac:dyDescent="0.3">
      <c r="A39" s="947"/>
      <c r="C39" s="945" t="s">
        <v>806</v>
      </c>
      <c r="D39" s="45">
        <f>'1.5'!K6</f>
        <v>0.95</v>
      </c>
      <c r="E39" s="949"/>
      <c r="F39" s="949"/>
      <c r="G39" s="949"/>
      <c r="H39" s="949"/>
    </row>
    <row r="40" spans="1:10" s="945" customFormat="1" ht="14.45" x14ac:dyDescent="0.3">
      <c r="A40" s="947"/>
      <c r="C40" s="945" t="s">
        <v>676</v>
      </c>
      <c r="D40" s="45">
        <f>'1.5'!K10</f>
        <v>0.96</v>
      </c>
      <c r="E40" s="949"/>
      <c r="F40" s="949"/>
      <c r="G40" s="949"/>
      <c r="H40" s="949"/>
    </row>
    <row r="41" spans="1:10" s="945" customFormat="1" ht="14.45" x14ac:dyDescent="0.3">
      <c r="A41" s="947"/>
      <c r="B41" s="945" t="s">
        <v>202</v>
      </c>
      <c r="C41" s="945">
        <v>10</v>
      </c>
      <c r="E41" s="949"/>
      <c r="F41" s="949"/>
      <c r="G41" s="949"/>
      <c r="H41" s="949"/>
    </row>
    <row r="42" spans="1:10" s="985" customFormat="1" ht="14.45" x14ac:dyDescent="0.3">
      <c r="A42" s="988"/>
      <c r="B42" s="1256" t="s">
        <v>987</v>
      </c>
      <c r="C42" s="1256"/>
      <c r="D42" s="1257"/>
      <c r="E42" s="1257"/>
      <c r="F42" s="1257"/>
      <c r="G42" s="1257"/>
      <c r="H42" s="1257"/>
    </row>
    <row r="43" spans="1:10" s="478" customFormat="1" ht="14.45" x14ac:dyDescent="0.3">
      <c r="B43" s="1055"/>
      <c r="C43" s="1056"/>
      <c r="D43" s="1054" t="s">
        <v>427</v>
      </c>
      <c r="E43" s="1053" t="s">
        <v>141</v>
      </c>
      <c r="F43" s="1053" t="s">
        <v>428</v>
      </c>
      <c r="G43" s="1053" t="s">
        <v>429</v>
      </c>
      <c r="H43" s="1053" t="s">
        <v>430</v>
      </c>
    </row>
    <row r="44" spans="1:10" s="945" customFormat="1" ht="14.45" x14ac:dyDescent="0.3">
      <c r="B44" s="1263" t="s">
        <v>37</v>
      </c>
      <c r="C44" s="1263"/>
      <c r="D44" s="1263"/>
      <c r="E44" s="1263"/>
      <c r="F44" s="1263"/>
      <c r="G44" s="1263"/>
      <c r="H44" s="1263"/>
      <c r="I44" s="949" t="s">
        <v>434</v>
      </c>
      <c r="J44" s="949" t="s">
        <v>928</v>
      </c>
    </row>
    <row r="45" spans="1:10" s="945" customFormat="1" ht="14.45" x14ac:dyDescent="0.3">
      <c r="B45" s="696"/>
      <c r="C45" s="990" t="str">
        <f t="shared" ref="C45:C55" si="10">C13</f>
        <v>Hydraulic Cylinder</v>
      </c>
      <c r="D45" s="476">
        <f t="shared" ref="D45:D55" si="11">D13*$C$41^(LOG10($D$38)/LOG10(2))</f>
        <v>25531.511596743767</v>
      </c>
      <c r="E45" s="1063">
        <f>VLOOKUP(C45,'1.5'!$E$23:$Q$46,12,FALSE)</f>
        <v>2</v>
      </c>
      <c r="F45" s="990">
        <v>8</v>
      </c>
      <c r="G45" s="680">
        <f>D45*E45*H45</f>
        <v>6382.8778991859417</v>
      </c>
      <c r="H45" s="1064">
        <f>1/F45</f>
        <v>0.125</v>
      </c>
      <c r="I45" s="952">
        <f>H45</f>
        <v>0.125</v>
      </c>
      <c r="J45" s="985" t="s">
        <v>930</v>
      </c>
    </row>
    <row r="46" spans="1:10" s="945" customFormat="1" ht="14.45" x14ac:dyDescent="0.3">
      <c r="B46" s="696"/>
      <c r="C46" s="990" t="str">
        <f t="shared" si="10"/>
        <v>Hydraulic Motor</v>
      </c>
      <c r="D46" s="476">
        <f t="shared" si="11"/>
        <v>13221.675648313736</v>
      </c>
      <c r="E46" s="1063">
        <f>VLOOKUP(C46,'1.5'!$E$23:$Q$46,12,FALSE)</f>
        <v>1</v>
      </c>
      <c r="F46" s="990">
        <v>5</v>
      </c>
      <c r="G46" s="680">
        <f>D46*E46*H46</f>
        <v>2644.3351296627475</v>
      </c>
      <c r="H46" s="1064">
        <f t="shared" ref="H46:H48" si="12">1/F46</f>
        <v>0.2</v>
      </c>
      <c r="I46" s="952">
        <v>0.2</v>
      </c>
      <c r="J46" s="985" t="s">
        <v>930</v>
      </c>
    </row>
    <row r="47" spans="1:10" s="945" customFormat="1" ht="14.45" x14ac:dyDescent="0.3">
      <c r="B47" s="696"/>
      <c r="C47" s="990" t="str">
        <f t="shared" si="10"/>
        <v>High Pressure Accumulators</v>
      </c>
      <c r="D47" s="476">
        <f t="shared" si="11"/>
        <v>2726.2604196215293</v>
      </c>
      <c r="E47" s="1063">
        <f>VLOOKUP(C47,'1.5'!$E$23:$Q$46,12,FALSE)</f>
        <v>13</v>
      </c>
      <c r="F47" s="977">
        <v>12</v>
      </c>
      <c r="G47" s="983">
        <f t="shared" ref="G47:G48" si="13">D47*E47*H47</f>
        <v>2953.4487879233229</v>
      </c>
      <c r="H47" s="1065">
        <f t="shared" si="12"/>
        <v>8.3333333333333329E-2</v>
      </c>
      <c r="I47" s="782"/>
      <c r="J47" s="985" t="s">
        <v>929</v>
      </c>
    </row>
    <row r="48" spans="1:10" s="945" customFormat="1" ht="14.45" x14ac:dyDescent="0.3">
      <c r="B48" s="696"/>
      <c r="C48" s="990" t="str">
        <f t="shared" si="10"/>
        <v>Releif Valves</v>
      </c>
      <c r="D48" s="476">
        <f t="shared" si="11"/>
        <v>162.30746657929967</v>
      </c>
      <c r="E48" s="1063">
        <f>VLOOKUP(C48,'1.5'!$E$23:$Q$46,12,FALSE)</f>
        <v>4</v>
      </c>
      <c r="F48" s="977">
        <v>5</v>
      </c>
      <c r="G48" s="680">
        <f t="shared" si="13"/>
        <v>129.84597326343973</v>
      </c>
      <c r="H48" s="1064">
        <f t="shared" si="12"/>
        <v>0.2</v>
      </c>
      <c r="I48" s="952"/>
      <c r="J48" s="985"/>
    </row>
    <row r="49" spans="2:10" s="945" customFormat="1" x14ac:dyDescent="0.25">
      <c r="B49" s="696"/>
      <c r="C49" s="990" t="str">
        <f t="shared" si="10"/>
        <v xml:space="preserve">Check Valves </v>
      </c>
      <c r="D49" s="476">
        <f t="shared" si="11"/>
        <v>1048.6156548662618</v>
      </c>
      <c r="E49" s="1063">
        <f>VLOOKUP(C49,'1.5'!$E$23:$Q$46,12,FALSE)</f>
        <v>8</v>
      </c>
      <c r="F49" s="977"/>
      <c r="G49" s="680"/>
      <c r="H49" s="1064"/>
      <c r="I49" s="952"/>
      <c r="J49" s="985"/>
    </row>
    <row r="50" spans="2:10" s="945" customFormat="1" x14ac:dyDescent="0.25">
      <c r="B50" s="696"/>
      <c r="C50" s="990" t="str">
        <f t="shared" si="10"/>
        <v xml:space="preserve">Solenoid Valves </v>
      </c>
      <c r="D50" s="476">
        <f t="shared" si="11"/>
        <v>3050.8370937717423</v>
      </c>
      <c r="E50" s="1063">
        <f>VLOOKUP(C50,'1.5'!$E$23:$Q$46,12,FALSE)</f>
        <v>1</v>
      </c>
      <c r="F50" s="977"/>
      <c r="G50" s="983"/>
      <c r="H50" s="1065"/>
      <c r="I50" s="782"/>
      <c r="J50" s="985"/>
    </row>
    <row r="51" spans="2:10" s="945" customFormat="1" x14ac:dyDescent="0.25">
      <c r="B51" s="696"/>
      <c r="C51" s="990" t="str">
        <f t="shared" si="10"/>
        <v>Valve Subplate</v>
      </c>
      <c r="D51" s="476">
        <f t="shared" si="11"/>
        <v>2240.7025911827573</v>
      </c>
      <c r="E51" s="1063">
        <f>VLOOKUP(C51,'1.5'!$E$23:$Q$46,12,FALSE)</f>
        <v>1</v>
      </c>
      <c r="F51" s="977"/>
      <c r="G51" s="680"/>
      <c r="H51" s="1064"/>
      <c r="I51" s="952"/>
      <c r="J51" s="985"/>
    </row>
    <row r="52" spans="2:10" s="945" customFormat="1" x14ac:dyDescent="0.25">
      <c r="B52" s="696"/>
      <c r="C52" s="990" t="str">
        <f t="shared" si="10"/>
        <v>Pressure Transducers</v>
      </c>
      <c r="D52" s="476">
        <f t="shared" si="11"/>
        <v>718.63170753072484</v>
      </c>
      <c r="E52" s="1063">
        <f>VLOOKUP(C52,'1.5'!$E$23:$Q$46,12,FALSE)</f>
        <v>1</v>
      </c>
      <c r="F52" s="977">
        <v>8</v>
      </c>
      <c r="G52" s="680">
        <f t="shared" ref="G52:G54" si="14">D52*E52*H52</f>
        <v>89.828963441340605</v>
      </c>
      <c r="H52" s="1064">
        <f t="shared" ref="H52:H54" si="15">1/F52</f>
        <v>0.125</v>
      </c>
      <c r="I52" s="952"/>
      <c r="J52" s="985" t="s">
        <v>930</v>
      </c>
    </row>
    <row r="53" spans="2:10" s="945" customFormat="1" x14ac:dyDescent="0.25">
      <c r="B53" s="696"/>
      <c r="C53" s="990" t="str">
        <f t="shared" si="10"/>
        <v>High Pressure Filter</v>
      </c>
      <c r="D53" s="476">
        <f t="shared" si="11"/>
        <v>866.24771488952069</v>
      </c>
      <c r="E53" s="1063">
        <f>VLOOKUP(C53,'1.5'!$E$23:$Q$46,12,FALSE)</f>
        <v>3</v>
      </c>
      <c r="F53" s="977">
        <v>4</v>
      </c>
      <c r="G53" s="983">
        <f t="shared" si="14"/>
        <v>649.68578616714058</v>
      </c>
      <c r="H53" s="1065">
        <f t="shared" si="15"/>
        <v>0.25</v>
      </c>
      <c r="I53" s="782"/>
      <c r="J53" s="985" t="s">
        <v>931</v>
      </c>
    </row>
    <row r="54" spans="2:10" s="945" customFormat="1" x14ac:dyDescent="0.25">
      <c r="B54" s="696"/>
      <c r="C54" s="990" t="str">
        <f t="shared" si="10"/>
        <v>Low Pressure Filter</v>
      </c>
      <c r="D54" s="476">
        <f t="shared" si="11"/>
        <v>2644.335129662747</v>
      </c>
      <c r="E54" s="1063">
        <f>VLOOKUP(C54,'1.5'!$E$23:$Q$46,12,FALSE)</f>
        <v>1</v>
      </c>
      <c r="F54" s="977">
        <v>4</v>
      </c>
      <c r="G54" s="680">
        <f t="shared" si="14"/>
        <v>661.08378241568676</v>
      </c>
      <c r="H54" s="1064">
        <f t="shared" si="15"/>
        <v>0.25</v>
      </c>
      <c r="I54" s="952"/>
      <c r="J54" s="985" t="s">
        <v>931</v>
      </c>
    </row>
    <row r="55" spans="2:10" s="945" customFormat="1" x14ac:dyDescent="0.25">
      <c r="B55" s="696"/>
      <c r="C55" s="990" t="str">
        <f t="shared" si="10"/>
        <v>Reservoir</v>
      </c>
      <c r="D55" s="476">
        <f t="shared" si="11"/>
        <v>66050.457389488947</v>
      </c>
      <c r="E55" s="1063">
        <f>VLOOKUP(C55,'1.5'!$E$23:$Q$46,12,FALSE)</f>
        <v>1</v>
      </c>
      <c r="F55" s="977"/>
      <c r="G55" s="680"/>
      <c r="H55" s="1064"/>
      <c r="I55" s="952"/>
      <c r="J55" s="985"/>
    </row>
    <row r="56" spans="2:10" s="478" customFormat="1" x14ac:dyDescent="0.25">
      <c r="B56" s="1263" t="s">
        <v>920</v>
      </c>
      <c r="C56" s="1263"/>
      <c r="D56" s="1263"/>
      <c r="E56" s="1263"/>
      <c r="F56" s="1263"/>
      <c r="G56" s="1263"/>
      <c r="H56" s="1263"/>
      <c r="I56" s="946"/>
      <c r="J56" s="985"/>
    </row>
    <row r="57" spans="2:10" s="478" customFormat="1" x14ac:dyDescent="0.25">
      <c r="B57" s="696"/>
      <c r="C57" s="990" t="str">
        <f>C25</f>
        <v>Generator</v>
      </c>
      <c r="D57" s="476">
        <f>'1.5'!H4/'1.5'!H3</f>
        <v>29115.325051839038</v>
      </c>
      <c r="E57" s="1063">
        <f>VLOOKUP(C57,'1.5'!$E$23:$Q$46,12,FALSE)</f>
        <v>1</v>
      </c>
      <c r="F57" s="977">
        <v>10</v>
      </c>
      <c r="G57" s="680">
        <f t="shared" ref="G57:G59" si="16">D57*E57*H57</f>
        <v>2911.532505183904</v>
      </c>
      <c r="H57" s="1064">
        <f t="shared" ref="H57:H59" si="17">1/F57</f>
        <v>0.1</v>
      </c>
      <c r="I57" s="952">
        <f t="shared" ref="I57:I59" si="18">H57</f>
        <v>0.1</v>
      </c>
      <c r="J57" s="985" t="s">
        <v>930</v>
      </c>
    </row>
    <row r="58" spans="2:10" s="478" customFormat="1" x14ac:dyDescent="0.25">
      <c r="B58" s="696"/>
      <c r="C58" s="990" t="str">
        <f>C26</f>
        <v>Frequency Converter</v>
      </c>
      <c r="D58" s="476">
        <f>'1.5'!H7/'1.5'!H3</f>
        <v>34917.214102330974</v>
      </c>
      <c r="E58" s="1063">
        <f>VLOOKUP(C58,'1.5'!$E$23:$Q$46,12,FALSE)</f>
        <v>1</v>
      </c>
      <c r="F58" s="977">
        <v>7.5</v>
      </c>
      <c r="G58" s="680">
        <f t="shared" si="16"/>
        <v>4655.628546977463</v>
      </c>
      <c r="H58" s="1064">
        <f t="shared" si="17"/>
        <v>0.13333333333333333</v>
      </c>
      <c r="I58" s="782">
        <f t="shared" si="18"/>
        <v>0.13333333333333333</v>
      </c>
      <c r="J58" s="985" t="s">
        <v>930</v>
      </c>
    </row>
    <row r="59" spans="2:10" s="478" customFormat="1" ht="14.25" customHeight="1" x14ac:dyDescent="0.25">
      <c r="B59" s="696"/>
      <c r="C59" s="990" t="str">
        <f>C27</f>
        <v>Step up Transformer</v>
      </c>
      <c r="D59" s="476">
        <f>'1.5'!H8/'1.5'!H3</f>
        <v>14844.146516520468</v>
      </c>
      <c r="E59" s="1063">
        <f>VLOOKUP(C59,'1.5'!$E$23:$Q$46,12,FALSE)</f>
        <v>1</v>
      </c>
      <c r="F59" s="977">
        <v>15</v>
      </c>
      <c r="G59" s="680">
        <f t="shared" si="16"/>
        <v>989.60976776803125</v>
      </c>
      <c r="H59" s="1064">
        <f t="shared" si="17"/>
        <v>6.6666666666666666E-2</v>
      </c>
      <c r="I59" s="952">
        <f t="shared" si="18"/>
        <v>6.6666666666666666E-2</v>
      </c>
      <c r="J59" s="985" t="s">
        <v>930</v>
      </c>
    </row>
    <row r="60" spans="2:10" s="478" customFormat="1" x14ac:dyDescent="0.25">
      <c r="B60" s="1263" t="s">
        <v>921</v>
      </c>
      <c r="C60" s="1263"/>
      <c r="D60" s="1263"/>
      <c r="E60" s="1263"/>
      <c r="F60" s="1263"/>
      <c r="G60" s="1263"/>
      <c r="H60" s="1263"/>
      <c r="I60" s="952"/>
      <c r="J60" s="985"/>
    </row>
    <row r="61" spans="2:10" s="478" customFormat="1" x14ac:dyDescent="0.25">
      <c r="B61" s="696"/>
      <c r="C61" s="990" t="str">
        <f>C29</f>
        <v>Motor to Generator Coupling</v>
      </c>
      <c r="D61" s="476">
        <f>D29*$C$41^(LOG10($D$39)/LOG10(2))</f>
        <v>278.30009746717491</v>
      </c>
      <c r="E61" s="1063">
        <f>VLOOKUP(C61,'1.5'!$E$23:$Q$46,12,FALSE)</f>
        <v>1</v>
      </c>
      <c r="F61" s="977">
        <v>20</v>
      </c>
      <c r="G61" s="680">
        <f t="shared" ref="G61:G64" si="19">D61*E61*H61</f>
        <v>13.915004873358747</v>
      </c>
      <c r="H61" s="1064">
        <f t="shared" ref="H61:H64" si="20">1/F61</f>
        <v>0.05</v>
      </c>
      <c r="I61" s="952">
        <f t="shared" ref="I61" si="21">H61</f>
        <v>0.05</v>
      </c>
      <c r="J61" s="985"/>
    </row>
    <row r="62" spans="2:10" s="478" customFormat="1" x14ac:dyDescent="0.25">
      <c r="B62" s="696"/>
      <c r="C62" s="990" t="str">
        <f>C30</f>
        <v>Hinge/Flap Bearings</v>
      </c>
      <c r="D62" s="476">
        <f>D30*$C$41^(LOG10($D$40)/LOG10(2))</f>
        <v>6548.8881690531489</v>
      </c>
      <c r="E62" s="1063">
        <f>VLOOKUP(C62,'1.5'!$E$23:$Q$46,12,FALSE)</f>
        <v>2</v>
      </c>
      <c r="F62" s="977">
        <v>20</v>
      </c>
      <c r="G62" s="680">
        <f t="shared" si="19"/>
        <v>654.88881690531491</v>
      </c>
      <c r="H62" s="1064">
        <f t="shared" si="20"/>
        <v>0.05</v>
      </c>
      <c r="I62" s="952">
        <f>H62</f>
        <v>0.05</v>
      </c>
      <c r="J62" s="985" t="s">
        <v>930</v>
      </c>
    </row>
    <row r="63" spans="2:10" s="478" customFormat="1" x14ac:dyDescent="0.25">
      <c r="B63" s="696"/>
      <c r="C63" s="990" t="str">
        <f>C31</f>
        <v>Riser Cable</v>
      </c>
      <c r="D63" s="476">
        <f>'1.2'!G38/'1.2'!G16</f>
        <v>88000</v>
      </c>
      <c r="E63" s="1063">
        <v>1</v>
      </c>
      <c r="F63" s="977">
        <v>10</v>
      </c>
      <c r="G63" s="680">
        <f t="shared" si="19"/>
        <v>8800</v>
      </c>
      <c r="H63" s="1065">
        <f t="shared" si="20"/>
        <v>0.1</v>
      </c>
      <c r="I63" s="782"/>
      <c r="J63" s="985" t="s">
        <v>930</v>
      </c>
    </row>
    <row r="64" spans="2:10" s="478" customFormat="1" x14ac:dyDescent="0.25">
      <c r="B64" s="696"/>
      <c r="C64" s="990" t="str">
        <f>C32</f>
        <v>Mooring</v>
      </c>
      <c r="D64" s="476">
        <f>'1.3'!G10/'1.3'!G3</f>
        <v>833020.83128291334</v>
      </c>
      <c r="E64" s="1063">
        <v>1</v>
      </c>
      <c r="F64" s="977">
        <v>50</v>
      </c>
      <c r="G64" s="983">
        <f t="shared" si="19"/>
        <v>16660.416625658268</v>
      </c>
      <c r="H64" s="1065">
        <f t="shared" si="20"/>
        <v>0.02</v>
      </c>
      <c r="I64" s="782">
        <f>H64</f>
        <v>0.02</v>
      </c>
      <c r="J64" s="985"/>
    </row>
    <row r="65" spans="1:10" s="478" customFormat="1" x14ac:dyDescent="0.25">
      <c r="B65" s="696"/>
      <c r="C65" s="990"/>
      <c r="D65" s="1002"/>
      <c r="E65" s="982"/>
      <c r="F65" s="977"/>
      <c r="G65" s="983"/>
      <c r="H65" s="1065"/>
      <c r="I65" s="951"/>
      <c r="J65" s="945"/>
    </row>
    <row r="66" spans="1:10" s="478" customFormat="1" ht="15.75" thickBot="1" x14ac:dyDescent="0.3">
      <c r="A66" s="846"/>
      <c r="B66" s="1258" t="s">
        <v>80</v>
      </c>
      <c r="C66" s="1259"/>
      <c r="D66" s="1066">
        <f>SUM(D45:D64)</f>
        <v>1124986.287632775</v>
      </c>
      <c r="E66" s="1067"/>
      <c r="F66" s="1068"/>
      <c r="G66" s="1069">
        <f>SUM(G45:G64)</f>
        <v>48197.097589425961</v>
      </c>
      <c r="H66" s="1070">
        <f t="shared" ref="H66:I66" si="22">SUM(H45:H64)</f>
        <v>1.7533333333333336</v>
      </c>
      <c r="I66" s="967">
        <f t="shared" si="22"/>
        <v>0.74500000000000011</v>
      </c>
      <c r="J66" s="846"/>
    </row>
    <row r="67" spans="1:10" s="478" customFormat="1" x14ac:dyDescent="0.25">
      <c r="B67" s="745"/>
      <c r="C67" s="745"/>
      <c r="E67" s="772"/>
      <c r="G67" s="400"/>
      <c r="H67" s="248"/>
      <c r="I67" s="248"/>
      <c r="J67" s="745"/>
    </row>
    <row r="68" spans="1:10" s="945" customFormat="1" x14ac:dyDescent="0.25">
      <c r="B68" s="945" t="s">
        <v>415</v>
      </c>
      <c r="D68" s="948">
        <f>G66/'Performance &amp; Economics'!$E$17</f>
        <v>133.77677803215823</v>
      </c>
      <c r="E68" s="942"/>
      <c r="G68" s="400"/>
      <c r="H68" s="952"/>
      <c r="I68" s="952"/>
    </row>
    <row r="69" spans="1:10" s="969" customFormat="1" x14ac:dyDescent="0.25">
      <c r="D69" s="974"/>
      <c r="E69" s="984"/>
      <c r="G69" s="980"/>
      <c r="H69" s="979"/>
      <c r="I69" s="979"/>
    </row>
    <row r="70" spans="1:10" s="969" customFormat="1" x14ac:dyDescent="0.25">
      <c r="A70" s="973" t="s">
        <v>956</v>
      </c>
      <c r="E70" s="975"/>
      <c r="F70" s="975"/>
      <c r="G70" s="975"/>
      <c r="H70" s="975"/>
    </row>
    <row r="71" spans="1:10" s="969" customFormat="1" x14ac:dyDescent="0.25">
      <c r="A71" s="973"/>
      <c r="B71" s="969" t="s">
        <v>952</v>
      </c>
      <c r="E71" s="975"/>
      <c r="F71" s="975"/>
      <c r="G71" s="975"/>
      <c r="H71" s="975"/>
    </row>
    <row r="72" spans="1:10" s="969" customFormat="1" x14ac:dyDescent="0.25">
      <c r="A72" s="973"/>
      <c r="C72" s="969" t="s">
        <v>953</v>
      </c>
      <c r="D72" s="978">
        <f>D38</f>
        <v>0.97260000000000002</v>
      </c>
      <c r="E72" s="970" t="s">
        <v>954</v>
      </c>
      <c r="F72" s="975"/>
      <c r="G72" s="975"/>
      <c r="H72" s="975"/>
    </row>
    <row r="73" spans="1:10" s="969" customFormat="1" x14ac:dyDescent="0.25">
      <c r="A73" s="973"/>
      <c r="C73" s="969" t="s">
        <v>806</v>
      </c>
      <c r="D73" s="978">
        <f>D39</f>
        <v>0.95</v>
      </c>
      <c r="E73" s="975"/>
      <c r="F73" s="975"/>
      <c r="G73" s="975"/>
      <c r="H73" s="975"/>
    </row>
    <row r="74" spans="1:10" s="969" customFormat="1" x14ac:dyDescent="0.25">
      <c r="A74" s="973"/>
      <c r="C74" s="969" t="s">
        <v>676</v>
      </c>
      <c r="D74" s="978">
        <f>D40</f>
        <v>0.96</v>
      </c>
      <c r="E74" s="975"/>
      <c r="F74" s="975"/>
      <c r="G74" s="975"/>
      <c r="H74" s="975"/>
    </row>
    <row r="75" spans="1:10" s="969" customFormat="1" x14ac:dyDescent="0.25">
      <c r="A75" s="973"/>
      <c r="B75" s="969" t="s">
        <v>202</v>
      </c>
      <c r="C75" s="969">
        <v>50</v>
      </c>
      <c r="E75" s="975"/>
      <c r="F75" s="975"/>
      <c r="G75" s="975"/>
      <c r="H75" s="975"/>
    </row>
    <row r="76" spans="1:10" s="969" customFormat="1" x14ac:dyDescent="0.25">
      <c r="E76" s="975"/>
      <c r="F76" s="975"/>
      <c r="G76" s="975"/>
      <c r="H76" s="975"/>
    </row>
    <row r="77" spans="1:10" s="969" customFormat="1" x14ac:dyDescent="0.25">
      <c r="B77" s="969" t="s">
        <v>37</v>
      </c>
      <c r="D77" s="975" t="s">
        <v>427</v>
      </c>
      <c r="E77" s="975" t="s">
        <v>141</v>
      </c>
      <c r="F77" s="975" t="s">
        <v>428</v>
      </c>
      <c r="G77" s="975" t="s">
        <v>429</v>
      </c>
      <c r="H77" s="975" t="s">
        <v>430</v>
      </c>
      <c r="I77" s="975" t="s">
        <v>434</v>
      </c>
      <c r="J77" s="975" t="s">
        <v>928</v>
      </c>
    </row>
    <row r="78" spans="1:10" s="969" customFormat="1" x14ac:dyDescent="0.25">
      <c r="C78" s="969" t="str">
        <f t="shared" ref="C78:C88" si="23">C13</f>
        <v>Hydraulic Cylinder</v>
      </c>
      <c r="D78" s="971">
        <f t="shared" ref="D78:D88" si="24">D13*$C$75^(LOG10($D$72)/LOG10(2))</f>
        <v>23936.506140193498</v>
      </c>
      <c r="E78" s="943">
        <f>VLOOKUP(C78,'1.5'!$E$23:$Q$46,12,FALSE)</f>
        <v>2</v>
      </c>
      <c r="F78" s="969">
        <v>8</v>
      </c>
      <c r="G78" s="974">
        <f>D78*E78*H78</f>
        <v>5984.1265350483745</v>
      </c>
      <c r="H78" s="979">
        <f>1/F78</f>
        <v>0.125</v>
      </c>
      <c r="I78" s="979">
        <f>H78</f>
        <v>0.125</v>
      </c>
      <c r="J78" s="985" t="s">
        <v>930</v>
      </c>
    </row>
    <row r="79" spans="1:10" s="969" customFormat="1" x14ac:dyDescent="0.25">
      <c r="C79" s="969" t="str">
        <f t="shared" si="23"/>
        <v>Hydraulic Motor</v>
      </c>
      <c r="D79" s="971">
        <f t="shared" si="24"/>
        <v>12395.69067974306</v>
      </c>
      <c r="E79" s="943">
        <f>VLOOKUP(C79,'1.5'!$E$23:$Q$46,12,FALSE)</f>
        <v>1</v>
      </c>
      <c r="F79" s="969">
        <v>5</v>
      </c>
      <c r="G79" s="974">
        <f>D79*E79*H79</f>
        <v>2479.1381359486122</v>
      </c>
      <c r="H79" s="979">
        <f t="shared" ref="H79:H81" si="25">1/F79</f>
        <v>0.2</v>
      </c>
      <c r="I79" s="979">
        <v>0.2</v>
      </c>
      <c r="J79" s="985" t="s">
        <v>930</v>
      </c>
    </row>
    <row r="80" spans="1:10" s="969" customFormat="1" x14ac:dyDescent="0.25">
      <c r="C80" s="969" t="str">
        <f t="shared" si="23"/>
        <v>High Pressure Accumulators</v>
      </c>
      <c r="D80" s="971">
        <f t="shared" si="24"/>
        <v>2555.945386420442</v>
      </c>
      <c r="E80" s="943">
        <f>VLOOKUP(C80,'1.5'!$E$23:$Q$46,12,FALSE)</f>
        <v>13</v>
      </c>
      <c r="F80" s="972">
        <v>12</v>
      </c>
      <c r="G80" s="781">
        <f t="shared" ref="G80:G81" si="26">D80*E80*H80</f>
        <v>2768.9408352888117</v>
      </c>
      <c r="H80" s="782">
        <f t="shared" si="25"/>
        <v>8.3333333333333329E-2</v>
      </c>
      <c r="I80" s="782"/>
      <c r="J80" s="985" t="s">
        <v>929</v>
      </c>
    </row>
    <row r="81" spans="1:17" s="478" customFormat="1" x14ac:dyDescent="0.25">
      <c r="A81" s="969"/>
      <c r="B81" s="969"/>
      <c r="C81" s="969" t="str">
        <f t="shared" si="23"/>
        <v>Releif Valves</v>
      </c>
      <c r="D81" s="971">
        <f t="shared" si="24"/>
        <v>152.16778903408724</v>
      </c>
      <c r="E81" s="943">
        <f>VLOOKUP(C81,'1.5'!$E$23:$Q$46,12,FALSE)</f>
        <v>4</v>
      </c>
      <c r="F81" s="972">
        <v>5</v>
      </c>
      <c r="G81" s="974">
        <f t="shared" si="26"/>
        <v>121.73423122726979</v>
      </c>
      <c r="H81" s="979">
        <f t="shared" si="25"/>
        <v>0.2</v>
      </c>
      <c r="I81" s="979"/>
      <c r="J81" s="985"/>
      <c r="K81" s="969"/>
    </row>
    <row r="82" spans="1:17" s="969" customFormat="1" x14ac:dyDescent="0.25">
      <c r="C82" s="969" t="str">
        <f t="shared" si="23"/>
        <v xml:space="preserve">Check Valves </v>
      </c>
      <c r="D82" s="971">
        <f t="shared" si="24"/>
        <v>983.10650218651858</v>
      </c>
      <c r="E82" s="943">
        <f>VLOOKUP(C82,'1.5'!$E$23:$Q$46,12,FALSE)</f>
        <v>8</v>
      </c>
      <c r="F82" s="972"/>
      <c r="G82" s="974"/>
      <c r="H82" s="979"/>
      <c r="I82" s="979"/>
      <c r="J82" s="985"/>
    </row>
    <row r="83" spans="1:17" s="945" customFormat="1" x14ac:dyDescent="0.25">
      <c r="A83" s="969"/>
      <c r="B83" s="969"/>
      <c r="C83" s="969" t="str">
        <f t="shared" si="23"/>
        <v xml:space="preserve">Solenoid Valves </v>
      </c>
      <c r="D83" s="971">
        <f t="shared" si="24"/>
        <v>2860.2450955982963</v>
      </c>
      <c r="E83" s="943">
        <f>VLOOKUP(C83,'1.5'!$E$23:$Q$46,12,FALSE)</f>
        <v>1</v>
      </c>
      <c r="F83" s="972"/>
      <c r="G83" s="781"/>
      <c r="H83" s="782"/>
      <c r="I83" s="782"/>
      <c r="J83" s="985"/>
      <c r="K83" s="969"/>
    </row>
    <row r="84" spans="1:17" s="969" customFormat="1" x14ac:dyDescent="0.25">
      <c r="C84" s="969" t="str">
        <f t="shared" si="23"/>
        <v>Valve Subplate</v>
      </c>
      <c r="D84" s="971">
        <f t="shared" si="24"/>
        <v>2100.7213430729257</v>
      </c>
      <c r="E84" s="943">
        <f>VLOOKUP(C84,'1.5'!$E$23:$Q$46,12,FALSE)</f>
        <v>1</v>
      </c>
      <c r="F84" s="972"/>
      <c r="G84" s="974"/>
      <c r="H84" s="979"/>
      <c r="I84" s="979"/>
      <c r="J84" s="985"/>
    </row>
    <row r="85" spans="1:17" s="68" customFormat="1" x14ac:dyDescent="0.25">
      <c r="A85" s="969"/>
      <c r="B85" s="969"/>
      <c r="C85" s="969" t="str">
        <f t="shared" si="23"/>
        <v>Pressure Transducers</v>
      </c>
      <c r="D85" s="971">
        <f t="shared" si="24"/>
        <v>673.73732317677502</v>
      </c>
      <c r="E85" s="943">
        <f>VLOOKUP(C85,'1.5'!$E$23:$Q$46,12,FALSE)</f>
        <v>1</v>
      </c>
      <c r="F85" s="972">
        <v>8</v>
      </c>
      <c r="G85" s="974">
        <f t="shared" ref="G85:G87" si="27">D85*E85*H85</f>
        <v>84.217165397096878</v>
      </c>
      <c r="H85" s="979">
        <f t="shared" ref="H85:H87" si="28">1/F85</f>
        <v>0.125</v>
      </c>
      <c r="I85" s="979"/>
      <c r="J85" s="985" t="s">
        <v>930</v>
      </c>
      <c r="K85" s="969"/>
    </row>
    <row r="86" spans="1:17" s="68" customFormat="1" x14ac:dyDescent="0.25">
      <c r="A86" s="969"/>
      <c r="B86" s="969"/>
      <c r="C86" s="969" t="str">
        <f t="shared" si="23"/>
        <v>High Pressure Filter</v>
      </c>
      <c r="D86" s="971">
        <f t="shared" si="24"/>
        <v>812.13145832799364</v>
      </c>
      <c r="E86" s="943">
        <f>VLOOKUP(C86,'1.5'!$E$23:$Q$46,12,FALSE)</f>
        <v>3</v>
      </c>
      <c r="F86" s="972">
        <v>4</v>
      </c>
      <c r="G86" s="781">
        <f t="shared" si="27"/>
        <v>609.09859374599523</v>
      </c>
      <c r="H86" s="782">
        <f t="shared" si="28"/>
        <v>0.25</v>
      </c>
      <c r="I86" s="782"/>
      <c r="J86" s="985" t="s">
        <v>931</v>
      </c>
      <c r="K86" s="969"/>
    </row>
    <row r="87" spans="1:17" s="68" customFormat="1" x14ac:dyDescent="0.25">
      <c r="A87" s="969"/>
      <c r="B87" s="969"/>
      <c r="C87" s="969" t="str">
        <f t="shared" si="23"/>
        <v>Low Pressure Filter</v>
      </c>
      <c r="D87" s="971">
        <f t="shared" si="24"/>
        <v>2479.1381359486122</v>
      </c>
      <c r="E87" s="943">
        <f>VLOOKUP(C87,'1.5'!$E$23:$Q$46,12,FALSE)</f>
        <v>1</v>
      </c>
      <c r="F87" s="972">
        <v>4</v>
      </c>
      <c r="G87" s="974">
        <f t="shared" si="27"/>
        <v>619.78453398715305</v>
      </c>
      <c r="H87" s="979">
        <f t="shared" si="28"/>
        <v>0.25</v>
      </c>
      <c r="I87" s="979"/>
      <c r="J87" s="985" t="s">
        <v>931</v>
      </c>
      <c r="K87" s="969"/>
    </row>
    <row r="88" spans="1:17" s="68" customFormat="1" x14ac:dyDescent="0.25">
      <c r="A88" s="969"/>
      <c r="B88" s="969"/>
      <c r="C88" s="969" t="str">
        <f t="shared" si="23"/>
        <v>Reservoir</v>
      </c>
      <c r="D88" s="971">
        <f t="shared" si="24"/>
        <v>61924.150980066952</v>
      </c>
      <c r="E88" s="943">
        <f>VLOOKUP(C88,'1.5'!$E$23:$Q$46,12,FALSE)</f>
        <v>1</v>
      </c>
      <c r="F88" s="972"/>
      <c r="G88" s="974"/>
      <c r="H88" s="979"/>
      <c r="I88" s="979"/>
      <c r="J88" s="985"/>
      <c r="K88" s="969"/>
    </row>
    <row r="89" spans="1:17" s="68" customFormat="1" x14ac:dyDescent="0.25">
      <c r="A89" s="969"/>
      <c r="B89" s="969" t="s">
        <v>920</v>
      </c>
      <c r="C89" s="969"/>
      <c r="D89" s="971"/>
      <c r="E89" s="943"/>
      <c r="F89" s="972"/>
      <c r="G89" s="781"/>
      <c r="H89" s="782"/>
      <c r="I89" s="972"/>
      <c r="J89" s="985"/>
      <c r="K89" s="969"/>
      <c r="M89"/>
      <c r="N89"/>
      <c r="O89"/>
      <c r="P89"/>
      <c r="Q89"/>
    </row>
    <row r="90" spans="1:17" s="68" customFormat="1" x14ac:dyDescent="0.25">
      <c r="A90" s="969"/>
      <c r="B90" s="969"/>
      <c r="C90" s="969" t="str">
        <f>C25</f>
        <v>Generator</v>
      </c>
      <c r="D90" s="971">
        <f>'1.5'!I4/'1.5'!I3</f>
        <v>26674.915915360652</v>
      </c>
      <c r="E90" s="943">
        <f>VLOOKUP(C90,'1.5'!$E$23:$Q$46,12,FALSE)</f>
        <v>1</v>
      </c>
      <c r="F90" s="972">
        <v>10</v>
      </c>
      <c r="G90" s="974">
        <f t="shared" ref="G90:G92" si="29">D90*E90*H90</f>
        <v>2667.4915915360652</v>
      </c>
      <c r="H90" s="979">
        <f t="shared" ref="H90:H92" si="30">1/F90</f>
        <v>0.1</v>
      </c>
      <c r="I90" s="979">
        <f t="shared" ref="I90:I92" si="31">H90</f>
        <v>0.1</v>
      </c>
      <c r="J90" s="985" t="s">
        <v>930</v>
      </c>
      <c r="K90" s="969"/>
    </row>
    <row r="91" spans="1:17" s="68" customFormat="1" x14ac:dyDescent="0.25">
      <c r="A91" s="969"/>
      <c r="B91" s="969"/>
      <c r="C91" s="969" t="str">
        <f>C26</f>
        <v>Frequency Converter</v>
      </c>
      <c r="D91" s="971">
        <f>'1.5'!I7/'1.5'!I3</f>
        <v>20797.996654271152</v>
      </c>
      <c r="E91" s="943">
        <f>VLOOKUP(C91,'1.5'!$E$23:$Q$46,12,FALSE)</f>
        <v>1</v>
      </c>
      <c r="F91" s="972">
        <v>7.5</v>
      </c>
      <c r="G91" s="974">
        <f t="shared" si="29"/>
        <v>2773.0662205694871</v>
      </c>
      <c r="H91" s="979">
        <f t="shared" si="30"/>
        <v>0.13333333333333333</v>
      </c>
      <c r="I91" s="782">
        <f t="shared" si="31"/>
        <v>0.13333333333333333</v>
      </c>
      <c r="J91" s="985" t="s">
        <v>930</v>
      </c>
      <c r="K91" s="969"/>
    </row>
    <row r="92" spans="1:17" s="745" customFormat="1" x14ac:dyDescent="0.25">
      <c r="A92" s="969"/>
      <c r="B92" s="969"/>
      <c r="C92" s="969" t="str">
        <f>C27</f>
        <v>Step up Transformer</v>
      </c>
      <c r="D92" s="971">
        <f>'1.5'!I8/'1.5'!I3</f>
        <v>13501.757708573952</v>
      </c>
      <c r="E92" s="943">
        <f>VLOOKUP(C92,'1.5'!$E$23:$Q$46,12,FALSE)</f>
        <v>1</v>
      </c>
      <c r="F92" s="972">
        <v>15</v>
      </c>
      <c r="G92" s="974">
        <f t="shared" si="29"/>
        <v>900.1171805715968</v>
      </c>
      <c r="H92" s="979">
        <f t="shared" si="30"/>
        <v>6.6666666666666666E-2</v>
      </c>
      <c r="I92" s="979">
        <f t="shared" si="31"/>
        <v>6.6666666666666666E-2</v>
      </c>
      <c r="J92" s="985" t="s">
        <v>930</v>
      </c>
      <c r="K92" s="969"/>
    </row>
    <row r="93" spans="1:17" x14ac:dyDescent="0.25">
      <c r="A93" s="969"/>
      <c r="B93" s="969" t="s">
        <v>921</v>
      </c>
      <c r="C93" s="969"/>
      <c r="D93" s="971"/>
      <c r="E93" s="783"/>
      <c r="F93" s="972"/>
      <c r="G93" s="781"/>
      <c r="H93" s="782"/>
      <c r="I93" s="979"/>
      <c r="J93" s="985"/>
      <c r="K93" s="969"/>
      <c r="M93" s="68"/>
      <c r="N93" s="68"/>
      <c r="O93" s="68"/>
      <c r="P93" s="68"/>
      <c r="Q93" s="68"/>
    </row>
    <row r="94" spans="1:17" s="68" customFormat="1" x14ac:dyDescent="0.25">
      <c r="A94" s="969"/>
      <c r="B94" s="969"/>
      <c r="C94" s="969" t="str">
        <f>C29</f>
        <v>Motor to Generator Coupling</v>
      </c>
      <c r="D94" s="971">
        <f>D29*$C$75^(LOG10($D$73)/LOG10(2))</f>
        <v>247.0524537487689</v>
      </c>
      <c r="E94" s="943">
        <f>VLOOKUP(C94,'1.5'!$E$23:$Q$46,12,FALSE)</f>
        <v>1</v>
      </c>
      <c r="F94" s="972">
        <v>20</v>
      </c>
      <c r="G94" s="974">
        <f t="shared" ref="G94:G97" si="32">D94*E94*H94</f>
        <v>12.352622687438446</v>
      </c>
      <c r="H94" s="979">
        <f t="shared" ref="H94:H97" si="33">1/F94</f>
        <v>0.05</v>
      </c>
      <c r="I94" s="979">
        <f t="shared" ref="I94" si="34">H94</f>
        <v>0.05</v>
      </c>
      <c r="J94" s="985"/>
      <c r="K94" s="969"/>
    </row>
    <row r="95" spans="1:17" s="68" customFormat="1" x14ac:dyDescent="0.25">
      <c r="A95" s="969"/>
      <c r="B95" s="969"/>
      <c r="C95" s="969" t="str">
        <f>C30</f>
        <v>Hinge/Flap Bearings</v>
      </c>
      <c r="D95" s="971">
        <f>D30*$C$75^(LOG10($D$74)/LOG10(2))</f>
        <v>5956.6578126061549</v>
      </c>
      <c r="E95" s="943">
        <f>VLOOKUP(C95,'1.5'!$E$23:$Q$46,12,FALSE)</f>
        <v>2</v>
      </c>
      <c r="F95" s="972">
        <v>20</v>
      </c>
      <c r="G95" s="974">
        <f t="shared" si="32"/>
        <v>595.66578126061552</v>
      </c>
      <c r="H95" s="979">
        <f t="shared" si="33"/>
        <v>0.05</v>
      </c>
      <c r="I95" s="979">
        <f>H95</f>
        <v>0.05</v>
      </c>
      <c r="J95" s="985" t="s">
        <v>930</v>
      </c>
      <c r="K95" s="969"/>
    </row>
    <row r="96" spans="1:17" s="68" customFormat="1" x14ac:dyDescent="0.25">
      <c r="A96" s="969"/>
      <c r="B96" s="969"/>
      <c r="C96" s="969" t="str">
        <f>C31</f>
        <v>Riser Cable</v>
      </c>
      <c r="D96" s="971">
        <f>'1.2'!F38/'1.2'!F16</f>
        <v>88000</v>
      </c>
      <c r="E96" s="943">
        <v>1</v>
      </c>
      <c r="F96" s="972">
        <v>10</v>
      </c>
      <c r="G96" s="974">
        <f t="shared" si="32"/>
        <v>8800</v>
      </c>
      <c r="H96" s="782">
        <f t="shared" si="33"/>
        <v>0.1</v>
      </c>
      <c r="I96" s="782"/>
      <c r="J96" s="985" t="s">
        <v>930</v>
      </c>
      <c r="K96" s="969"/>
    </row>
    <row r="97" spans="1:17" s="68" customFormat="1" x14ac:dyDescent="0.25">
      <c r="A97" s="969"/>
      <c r="B97" s="969"/>
      <c r="C97" s="969" t="str">
        <f>C32</f>
        <v>Mooring</v>
      </c>
      <c r="D97" s="971">
        <f>'1.3'!H10/'1.3'!H3</f>
        <v>751886.30995833187</v>
      </c>
      <c r="E97" s="943">
        <v>1</v>
      </c>
      <c r="F97" s="972">
        <v>50</v>
      </c>
      <c r="G97" s="781">
        <f t="shared" si="32"/>
        <v>15037.726199166638</v>
      </c>
      <c r="H97" s="782">
        <f t="shared" si="33"/>
        <v>0.02</v>
      </c>
      <c r="I97" s="782">
        <f>H97</f>
        <v>0.02</v>
      </c>
      <c r="J97" s="985"/>
      <c r="K97" s="969"/>
    </row>
    <row r="98" spans="1:17" s="745" customFormat="1" x14ac:dyDescent="0.25">
      <c r="A98" s="969"/>
      <c r="B98" s="976"/>
      <c r="C98" s="976"/>
      <c r="D98" s="981"/>
      <c r="E98" s="982"/>
      <c r="F98" s="977"/>
      <c r="G98" s="983"/>
      <c r="H98" s="958"/>
      <c r="I98" s="977"/>
      <c r="J98" s="969"/>
      <c r="K98" s="969"/>
    </row>
    <row r="99" spans="1:17" s="68" customFormat="1" ht="15.75" thickBot="1" x14ac:dyDescent="0.3">
      <c r="A99" s="846"/>
      <c r="B99" s="846" t="s">
        <v>80</v>
      </c>
      <c r="C99" s="846"/>
      <c r="D99" s="963">
        <f>SUM(D78:D97)</f>
        <v>1017938.2313366617</v>
      </c>
      <c r="E99" s="959"/>
      <c r="F99" s="966"/>
      <c r="G99" s="967">
        <f>SUM(G78:G97)</f>
        <v>43453.459626435157</v>
      </c>
      <c r="H99" s="967">
        <f t="shared" ref="H99:I99" si="35">SUM(H78:H97)</f>
        <v>1.7533333333333336</v>
      </c>
      <c r="I99" s="967">
        <f t="shared" si="35"/>
        <v>0.74500000000000011</v>
      </c>
      <c r="J99" s="846"/>
      <c r="K99" s="969"/>
    </row>
    <row r="100" spans="1:17" s="68" customFormat="1" x14ac:dyDescent="0.25">
      <c r="A100" s="969"/>
      <c r="B100" s="969"/>
      <c r="C100" s="969"/>
      <c r="D100" s="969"/>
      <c r="E100" s="984"/>
      <c r="F100" s="969"/>
      <c r="G100" s="980"/>
      <c r="H100" s="979"/>
      <c r="I100" s="979"/>
      <c r="J100" s="969"/>
      <c r="K100" s="969"/>
    </row>
    <row r="101" spans="1:17" s="68" customFormat="1" x14ac:dyDescent="0.25">
      <c r="A101" s="969"/>
      <c r="B101" s="969" t="s">
        <v>415</v>
      </c>
      <c r="C101" s="969"/>
      <c r="D101" s="974">
        <f>G99/'Performance &amp; Economics'!$E$17</f>
        <v>120.61024654833786</v>
      </c>
      <c r="E101" s="984"/>
      <c r="F101" s="969"/>
      <c r="G101" s="980"/>
      <c r="H101" s="979"/>
      <c r="I101" s="979"/>
      <c r="J101" s="969"/>
      <c r="K101" s="969"/>
    </row>
    <row r="102" spans="1:17" s="68" customFormat="1" x14ac:dyDescent="0.25">
      <c r="A102" s="481"/>
      <c r="B102" s="481"/>
      <c r="C102" s="178"/>
      <c r="D102" s="178"/>
      <c r="E102" s="178"/>
      <c r="F102" s="28"/>
      <c r="G102" s="28"/>
      <c r="H102" s="28"/>
      <c r="I102" s="28"/>
      <c r="J102" s="28"/>
      <c r="K102" s="200"/>
      <c r="L102" s="81"/>
    </row>
    <row r="103" spans="1:17" s="68" customFormat="1" x14ac:dyDescent="0.25">
      <c r="A103" s="973" t="s">
        <v>957</v>
      </c>
      <c r="B103" s="969"/>
      <c r="C103" s="969"/>
      <c r="D103" s="969"/>
      <c r="E103" s="975"/>
      <c r="F103" s="975"/>
      <c r="G103" s="975"/>
      <c r="H103" s="975"/>
      <c r="I103" s="969"/>
      <c r="J103" s="28"/>
      <c r="K103" s="200"/>
      <c r="L103" s="81"/>
    </row>
    <row r="104" spans="1:17" s="68" customFormat="1" x14ac:dyDescent="0.25">
      <c r="A104" s="973"/>
      <c r="B104" s="969" t="s">
        <v>952</v>
      </c>
      <c r="C104" s="969"/>
      <c r="D104" s="969"/>
      <c r="E104" s="975"/>
      <c r="F104" s="975"/>
      <c r="G104" s="975"/>
      <c r="H104" s="975"/>
      <c r="I104" s="969"/>
      <c r="J104" s="28"/>
      <c r="K104" s="200"/>
      <c r="L104" s="81"/>
    </row>
    <row r="105" spans="1:17" s="68" customFormat="1" x14ac:dyDescent="0.25">
      <c r="A105" s="973"/>
      <c r="B105" s="969"/>
      <c r="C105" s="969" t="s">
        <v>953</v>
      </c>
      <c r="D105" s="978">
        <f>D72</f>
        <v>0.97260000000000002</v>
      </c>
      <c r="E105" s="970" t="s">
        <v>954</v>
      </c>
      <c r="F105" s="975"/>
      <c r="G105" s="975"/>
      <c r="H105" s="975"/>
      <c r="I105" s="969"/>
      <c r="J105" s="28"/>
      <c r="K105" s="200"/>
      <c r="L105" s="81"/>
    </row>
    <row r="106" spans="1:17" s="68" customFormat="1" x14ac:dyDescent="0.25">
      <c r="A106" s="973"/>
      <c r="B106" s="969"/>
      <c r="C106" s="969" t="s">
        <v>806</v>
      </c>
      <c r="D106" s="978">
        <f>D73</f>
        <v>0.95</v>
      </c>
      <c r="E106" s="975"/>
      <c r="F106" s="975"/>
      <c r="G106" s="975"/>
      <c r="H106" s="975"/>
      <c r="I106" s="969"/>
      <c r="M106" s="253"/>
      <c r="N106" s="253"/>
      <c r="O106" s="253"/>
      <c r="P106" s="253"/>
      <c r="Q106" s="253"/>
    </row>
    <row r="107" spans="1:17" s="68" customFormat="1" x14ac:dyDescent="0.25">
      <c r="A107" s="973"/>
      <c r="B107" s="969"/>
      <c r="C107" s="969" t="s">
        <v>676</v>
      </c>
      <c r="D107" s="978">
        <f>D74</f>
        <v>0.96</v>
      </c>
      <c r="E107" s="975"/>
      <c r="F107" s="975"/>
      <c r="G107" s="975"/>
      <c r="H107" s="975"/>
      <c r="I107" s="969"/>
      <c r="M107" s="253"/>
      <c r="N107" s="253"/>
      <c r="O107" s="253"/>
      <c r="P107" s="253"/>
      <c r="Q107" s="253"/>
    </row>
    <row r="108" spans="1:17" s="68" customFormat="1" x14ac:dyDescent="0.25">
      <c r="A108" s="973"/>
      <c r="B108" s="969" t="s">
        <v>202</v>
      </c>
      <c r="C108" s="969">
        <v>100</v>
      </c>
      <c r="D108" s="969"/>
      <c r="E108" s="975"/>
      <c r="F108" s="975"/>
      <c r="G108" s="975"/>
      <c r="H108" s="975"/>
      <c r="I108" s="969"/>
      <c r="M108" s="253"/>
      <c r="N108" s="253"/>
      <c r="O108" s="253"/>
      <c r="P108" s="253"/>
      <c r="Q108" s="253"/>
    </row>
    <row r="109" spans="1:17" s="68" customFormat="1" x14ac:dyDescent="0.25">
      <c r="A109" s="969"/>
      <c r="B109" s="969"/>
      <c r="C109" s="969"/>
      <c r="D109" s="969"/>
      <c r="E109" s="975"/>
      <c r="F109" s="975"/>
      <c r="G109" s="975"/>
      <c r="H109" s="975"/>
      <c r="I109" s="969"/>
      <c r="M109" s="253"/>
      <c r="N109" s="253"/>
      <c r="O109" s="253"/>
      <c r="P109" s="253"/>
      <c r="Q109" s="253"/>
    </row>
    <row r="110" spans="1:17" s="68" customFormat="1" x14ac:dyDescent="0.25">
      <c r="A110" s="969"/>
      <c r="B110" s="969" t="s">
        <v>37</v>
      </c>
      <c r="C110" s="969"/>
      <c r="D110" s="975" t="s">
        <v>427</v>
      </c>
      <c r="E110" s="975" t="s">
        <v>141</v>
      </c>
      <c r="F110" s="975" t="s">
        <v>428</v>
      </c>
      <c r="G110" s="975" t="s">
        <v>429</v>
      </c>
      <c r="H110" s="975" t="s">
        <v>430</v>
      </c>
      <c r="I110" s="975" t="s">
        <v>434</v>
      </c>
      <c r="J110" s="989" t="s">
        <v>928</v>
      </c>
      <c r="M110" s="253"/>
      <c r="N110" s="253"/>
      <c r="O110" s="253"/>
      <c r="P110" s="253"/>
      <c r="Q110" s="253"/>
    </row>
    <row r="111" spans="1:17" s="253" customFormat="1" x14ac:dyDescent="0.25">
      <c r="A111" s="969"/>
      <c r="B111" s="969"/>
      <c r="C111" s="969" t="str">
        <f t="shared" ref="C111:C121" si="36">C13</f>
        <v>Hydraulic Cylinder</v>
      </c>
      <c r="D111" s="971">
        <f t="shared" ref="D111:D121" si="37">D13*$C$108^(LOG10($D$105)/LOG10(2))</f>
        <v>23280.645871952194</v>
      </c>
      <c r="E111" s="943">
        <f>VLOOKUP(C111,'1.5'!$E$23:$Q$46,12,FALSE)</f>
        <v>2</v>
      </c>
      <c r="F111" s="969">
        <v>8</v>
      </c>
      <c r="G111" s="974">
        <f>D111*E111*H111</f>
        <v>5820.1614679880486</v>
      </c>
      <c r="H111" s="979">
        <f>1/F111</f>
        <v>0.125</v>
      </c>
      <c r="I111" s="979">
        <f>H111</f>
        <v>0.125</v>
      </c>
      <c r="J111" s="985" t="s">
        <v>930</v>
      </c>
      <c r="L111" s="68"/>
    </row>
    <row r="112" spans="1:17" s="253" customFormat="1" x14ac:dyDescent="0.25">
      <c r="A112" s="969"/>
      <c r="B112" s="969"/>
      <c r="C112" s="969" t="str">
        <f t="shared" si="36"/>
        <v>Hydraulic Motor</v>
      </c>
      <c r="D112" s="971">
        <f t="shared" si="37"/>
        <v>12056.0487551181</v>
      </c>
      <c r="E112" s="943">
        <f>VLOOKUP(C112,'1.5'!$E$23:$Q$46,12,FALSE)</f>
        <v>1</v>
      </c>
      <c r="F112" s="969">
        <v>5</v>
      </c>
      <c r="G112" s="974">
        <f>D112*E112*H112</f>
        <v>2411.2097510236199</v>
      </c>
      <c r="H112" s="979">
        <f t="shared" ref="H112:H114" si="38">1/F112</f>
        <v>0.2</v>
      </c>
      <c r="I112" s="979">
        <v>0.2</v>
      </c>
      <c r="J112" s="985" t="s">
        <v>930</v>
      </c>
      <c r="L112" s="68"/>
    </row>
    <row r="113" spans="1:17" s="253" customFormat="1" x14ac:dyDescent="0.25">
      <c r="A113" s="969"/>
      <c r="B113" s="969"/>
      <c r="C113" s="969" t="str">
        <f t="shared" si="36"/>
        <v>High Pressure Accumulators</v>
      </c>
      <c r="D113" s="971">
        <f t="shared" si="37"/>
        <v>2485.9124828325216</v>
      </c>
      <c r="E113" s="943">
        <f>VLOOKUP(C113,'1.5'!$E$23:$Q$46,12,FALSE)</f>
        <v>13</v>
      </c>
      <c r="F113" s="972">
        <v>12</v>
      </c>
      <c r="G113" s="781">
        <f t="shared" ref="G113:G114" si="39">D113*E113*H113</f>
        <v>2693.071856401898</v>
      </c>
      <c r="H113" s="782">
        <f t="shared" si="38"/>
        <v>8.3333333333333329E-2</v>
      </c>
      <c r="I113" s="782"/>
      <c r="J113" s="985" t="s">
        <v>929</v>
      </c>
      <c r="L113" s="745"/>
      <c r="M113"/>
      <c r="N113"/>
      <c r="O113"/>
      <c r="P113"/>
      <c r="Q113"/>
    </row>
    <row r="114" spans="1:17" s="253" customFormat="1" x14ac:dyDescent="0.25">
      <c r="A114" s="969"/>
      <c r="B114" s="969"/>
      <c r="C114" s="969" t="str">
        <f t="shared" si="36"/>
        <v>Releif Valves</v>
      </c>
      <c r="D114" s="971">
        <f t="shared" si="37"/>
        <v>147.99839161455324</v>
      </c>
      <c r="E114" s="943">
        <f>VLOOKUP(C114,'1.5'!$E$23:$Q$46,12,FALSE)</f>
        <v>4</v>
      </c>
      <c r="F114" s="972">
        <v>5</v>
      </c>
      <c r="G114" s="974">
        <f t="shared" si="39"/>
        <v>118.39871329164259</v>
      </c>
      <c r="H114" s="979">
        <f t="shared" si="38"/>
        <v>0.2</v>
      </c>
      <c r="I114" s="979"/>
      <c r="J114" s="985"/>
      <c r="L114"/>
      <c r="M114"/>
      <c r="N114"/>
      <c r="O114"/>
      <c r="P114"/>
      <c r="Q114"/>
    </row>
    <row r="115" spans="1:17" s="253" customFormat="1" x14ac:dyDescent="0.25">
      <c r="A115" s="969"/>
      <c r="B115" s="969"/>
      <c r="C115" s="969" t="str">
        <f t="shared" si="36"/>
        <v xml:space="preserve">Check Valves </v>
      </c>
      <c r="D115" s="971">
        <f t="shared" si="37"/>
        <v>956.16938402660799</v>
      </c>
      <c r="E115" s="943">
        <f>VLOOKUP(C115,'1.5'!$E$23:$Q$46,12,FALSE)</f>
        <v>8</v>
      </c>
      <c r="F115" s="972"/>
      <c r="G115" s="974"/>
      <c r="H115" s="979"/>
      <c r="I115" s="979"/>
      <c r="J115" s="985"/>
      <c r="L115" s="68"/>
      <c r="M115"/>
      <c r="N115"/>
      <c r="O115"/>
      <c r="P115"/>
      <c r="Q115"/>
    </row>
    <row r="116" spans="1:17" s="253" customFormat="1" x14ac:dyDescent="0.25">
      <c r="A116" s="969"/>
      <c r="B116" s="969"/>
      <c r="C116" s="969" t="str">
        <f t="shared" si="36"/>
        <v xml:space="preserve">Solenoid Valves </v>
      </c>
      <c r="D116" s="971">
        <f t="shared" si="37"/>
        <v>2781.8743799789031</v>
      </c>
      <c r="E116" s="943">
        <f>VLOOKUP(C116,'1.5'!$E$23:$Q$46,12,FALSE)</f>
        <v>1</v>
      </c>
      <c r="F116" s="972"/>
      <c r="G116" s="781"/>
      <c r="H116" s="782"/>
      <c r="I116" s="782"/>
      <c r="J116" s="985"/>
      <c r="L116" s="68"/>
      <c r="M116"/>
      <c r="N116"/>
      <c r="O116"/>
      <c r="P116"/>
      <c r="Q116"/>
    </row>
    <row r="117" spans="1:17" s="253" customFormat="1" x14ac:dyDescent="0.25">
      <c r="A117" s="969"/>
      <c r="B117" s="969"/>
      <c r="C117" s="969" t="str">
        <f t="shared" si="36"/>
        <v>Valve Subplate</v>
      </c>
      <c r="D117" s="971">
        <f t="shared" si="37"/>
        <v>2043.1615782727274</v>
      </c>
      <c r="E117" s="943">
        <f>VLOOKUP(C117,'1.5'!$E$23:$Q$46,12,FALSE)</f>
        <v>1</v>
      </c>
      <c r="F117" s="972"/>
      <c r="G117" s="974"/>
      <c r="H117" s="979"/>
      <c r="I117" s="979"/>
      <c r="J117" s="985"/>
      <c r="L117" s="68"/>
      <c r="M117"/>
      <c r="N117"/>
      <c r="O117"/>
      <c r="P117"/>
      <c r="Q117"/>
    </row>
    <row r="118" spans="1:17" x14ac:dyDescent="0.25">
      <c r="A118" s="969"/>
      <c r="B118" s="969"/>
      <c r="C118" s="969" t="str">
        <f t="shared" si="36"/>
        <v>Pressure Transducers</v>
      </c>
      <c r="D118" s="971">
        <f t="shared" si="37"/>
        <v>655.27692052173131</v>
      </c>
      <c r="E118" s="943">
        <f>VLOOKUP(C118,'1.5'!$E$23:$Q$46,12,FALSE)</f>
        <v>1</v>
      </c>
      <c r="F118" s="972">
        <v>8</v>
      </c>
      <c r="G118" s="974">
        <f t="shared" ref="G118:G120" si="40">D118*E118*H118</f>
        <v>81.909615065216414</v>
      </c>
      <c r="H118" s="979">
        <f t="shared" ref="H118:H120" si="41">1/F118</f>
        <v>0.125</v>
      </c>
      <c r="I118" s="979"/>
      <c r="J118" s="985" t="s">
        <v>930</v>
      </c>
      <c r="L118" s="68"/>
    </row>
    <row r="119" spans="1:17" x14ac:dyDescent="0.25">
      <c r="A119" s="969"/>
      <c r="B119" s="969"/>
      <c r="C119" s="969" t="str">
        <f t="shared" si="36"/>
        <v>High Pressure Filter</v>
      </c>
      <c r="D119" s="971">
        <f t="shared" si="37"/>
        <v>789.87905636980656</v>
      </c>
      <c r="E119" s="943">
        <f>VLOOKUP(C119,'1.5'!$E$23:$Q$46,12,FALSE)</f>
        <v>3</v>
      </c>
      <c r="F119" s="972">
        <v>4</v>
      </c>
      <c r="G119" s="781">
        <f t="shared" si="40"/>
        <v>592.40929227735489</v>
      </c>
      <c r="H119" s="782">
        <f t="shared" si="41"/>
        <v>0.25</v>
      </c>
      <c r="I119" s="782"/>
      <c r="J119" s="985" t="s">
        <v>931</v>
      </c>
      <c r="L119" s="745"/>
    </row>
    <row r="120" spans="1:17" x14ac:dyDescent="0.25">
      <c r="A120" s="969"/>
      <c r="B120" s="969"/>
      <c r="C120" s="969" t="str">
        <f t="shared" si="36"/>
        <v>Low Pressure Filter</v>
      </c>
      <c r="D120" s="971">
        <f t="shared" si="37"/>
        <v>2411.2097510236199</v>
      </c>
      <c r="E120" s="943">
        <f>VLOOKUP(C120,'1.5'!$E$23:$Q$46,12,FALSE)</f>
        <v>1</v>
      </c>
      <c r="F120" s="972">
        <v>4</v>
      </c>
      <c r="G120" s="974">
        <f t="shared" si="40"/>
        <v>602.80243775590498</v>
      </c>
      <c r="H120" s="979">
        <f t="shared" si="41"/>
        <v>0.25</v>
      </c>
      <c r="I120" s="979"/>
      <c r="J120" s="985" t="s">
        <v>931</v>
      </c>
      <c r="L120" s="68"/>
    </row>
    <row r="121" spans="1:17" x14ac:dyDescent="0.25">
      <c r="A121" s="969"/>
      <c r="B121" s="969"/>
      <c r="C121" s="969" t="str">
        <f t="shared" si="36"/>
        <v>Reservoir</v>
      </c>
      <c r="D121" s="971">
        <f t="shared" si="37"/>
        <v>60227.429243213111</v>
      </c>
      <c r="E121" s="943">
        <f>VLOOKUP(C121,'1.5'!$E$23:$Q$46,12,FALSE)</f>
        <v>1</v>
      </c>
      <c r="F121" s="972"/>
      <c r="G121" s="974"/>
      <c r="H121" s="979"/>
      <c r="I121" s="979"/>
      <c r="J121" s="985"/>
      <c r="L121" s="68"/>
    </row>
    <row r="122" spans="1:17" x14ac:dyDescent="0.25">
      <c r="A122" s="969"/>
      <c r="B122" s="969" t="s">
        <v>920</v>
      </c>
      <c r="C122" s="969"/>
      <c r="D122" s="971"/>
      <c r="E122" s="943"/>
      <c r="F122" s="972"/>
      <c r="G122" s="781"/>
      <c r="H122" s="782"/>
      <c r="I122" s="972"/>
      <c r="J122" s="985"/>
      <c r="K122" s="68"/>
      <c r="L122" s="68"/>
    </row>
    <row r="123" spans="1:17" x14ac:dyDescent="0.25">
      <c r="A123" s="969"/>
      <c r="B123" s="969"/>
      <c r="C123" s="969" t="str">
        <f>C25</f>
        <v>Generator</v>
      </c>
      <c r="D123" s="971">
        <f>'1.5'!J4/'1.5'!J3</f>
        <v>25687.9440264923</v>
      </c>
      <c r="E123" s="943">
        <f>VLOOKUP(C123,'1.5'!$E$23:$Q$46,12,FALSE)</f>
        <v>1</v>
      </c>
      <c r="F123" s="972">
        <v>10</v>
      </c>
      <c r="G123" s="974">
        <f t="shared" ref="G123:G125" si="42">D123*E123*H123</f>
        <v>2568.7944026492301</v>
      </c>
      <c r="H123" s="979">
        <f t="shared" ref="H123:H125" si="43">1/F123</f>
        <v>0.1</v>
      </c>
      <c r="I123" s="979">
        <f t="shared" ref="I123:I125" si="44">H123</f>
        <v>0.1</v>
      </c>
      <c r="J123" s="985" t="s">
        <v>930</v>
      </c>
    </row>
    <row r="124" spans="1:17" x14ac:dyDescent="0.25">
      <c r="A124" s="969"/>
      <c r="B124" s="969"/>
      <c r="C124" s="969" t="str">
        <f>C26</f>
        <v>Frequency Converter</v>
      </c>
      <c r="D124" s="971">
        <f>'1.5'!J7/'1.5'!J3</f>
        <v>16638.397323416917</v>
      </c>
      <c r="E124" s="943">
        <f>VLOOKUP(C124,'1.5'!$E$23:$Q$46,12,FALSE)</f>
        <v>1</v>
      </c>
      <c r="F124" s="972">
        <v>7.5</v>
      </c>
      <c r="G124" s="974">
        <f t="shared" si="42"/>
        <v>2218.4529764555891</v>
      </c>
      <c r="H124" s="979">
        <f t="shared" si="43"/>
        <v>0.13333333333333333</v>
      </c>
      <c r="I124" s="782">
        <f t="shared" si="44"/>
        <v>0.13333333333333333</v>
      </c>
      <c r="J124" s="985" t="s">
        <v>930</v>
      </c>
    </row>
    <row r="125" spans="1:17" x14ac:dyDescent="0.25">
      <c r="A125" s="969"/>
      <c r="B125" s="969"/>
      <c r="C125" s="969" t="str">
        <f>C27</f>
        <v>Step up Transformer</v>
      </c>
      <c r="D125" s="971">
        <f>'1.5'!J8/'1.5'!J3</f>
        <v>12961.687400230989</v>
      </c>
      <c r="E125" s="943">
        <f>VLOOKUP(C125,'1.5'!$E$23:$Q$46,12,FALSE)</f>
        <v>1</v>
      </c>
      <c r="F125" s="972">
        <v>15</v>
      </c>
      <c r="G125" s="974">
        <f t="shared" si="42"/>
        <v>864.11249334873253</v>
      </c>
      <c r="H125" s="979">
        <f t="shared" si="43"/>
        <v>6.6666666666666666E-2</v>
      </c>
      <c r="I125" s="979">
        <f t="shared" si="44"/>
        <v>6.6666666666666666E-2</v>
      </c>
      <c r="J125" s="985" t="s">
        <v>930</v>
      </c>
    </row>
    <row r="126" spans="1:17" x14ac:dyDescent="0.25">
      <c r="A126" s="969"/>
      <c r="B126" s="969" t="s">
        <v>921</v>
      </c>
      <c r="C126" s="969"/>
      <c r="D126" s="971"/>
      <c r="E126" s="783"/>
      <c r="F126" s="972"/>
      <c r="G126" s="781"/>
      <c r="H126" s="782"/>
      <c r="I126" s="979"/>
      <c r="J126" s="985"/>
    </row>
    <row r="127" spans="1:17" x14ac:dyDescent="0.25">
      <c r="A127" s="969"/>
      <c r="B127" s="969"/>
      <c r="C127" s="969" t="str">
        <f>C29</f>
        <v>Motor to Generator Coupling</v>
      </c>
      <c r="D127" s="971">
        <f>D29*$C$108^(LOG10($D$106)/LOG10(2))</f>
        <v>234.69983106133043</v>
      </c>
      <c r="E127" s="943">
        <f>VLOOKUP(C127,'1.5'!$E$23:$Q$46,12,FALSE)</f>
        <v>1</v>
      </c>
      <c r="F127" s="972">
        <v>20</v>
      </c>
      <c r="G127" s="974">
        <f t="shared" ref="G127:G130" si="45">D127*E127*H127</f>
        <v>11.734991553066521</v>
      </c>
      <c r="H127" s="979">
        <f t="shared" ref="H127:H130" si="46">1/F127</f>
        <v>0.05</v>
      </c>
      <c r="I127" s="979">
        <f t="shared" ref="I127" si="47">H127</f>
        <v>0.05</v>
      </c>
      <c r="J127" s="985"/>
    </row>
    <row r="128" spans="1:17" x14ac:dyDescent="0.25">
      <c r="A128" s="969"/>
      <c r="B128" s="969"/>
      <c r="C128" s="969" t="str">
        <f>C30</f>
        <v>Hinge/Flap Bearings</v>
      </c>
      <c r="D128" s="971">
        <f>D30*$C$108^(LOG10($D$107)/LOG10(2))</f>
        <v>5718.3915001019068</v>
      </c>
      <c r="E128" s="943">
        <f>VLOOKUP(C128,'1.5'!$E$23:$Q$46,12,FALSE)</f>
        <v>2</v>
      </c>
      <c r="F128" s="972">
        <v>20</v>
      </c>
      <c r="G128" s="974">
        <f t="shared" si="45"/>
        <v>571.83915001019068</v>
      </c>
      <c r="H128" s="979">
        <f t="shared" si="46"/>
        <v>0.05</v>
      </c>
      <c r="I128" s="979">
        <f>H128</f>
        <v>0.05</v>
      </c>
      <c r="J128" s="985" t="s">
        <v>930</v>
      </c>
    </row>
    <row r="129" spans="1:11" x14ac:dyDescent="0.25">
      <c r="A129" s="969"/>
      <c r="B129" s="969"/>
      <c r="C129" s="969" t="str">
        <f>C31</f>
        <v>Riser Cable</v>
      </c>
      <c r="D129" s="971">
        <f>'1.2'!G38/'1.2'!G16</f>
        <v>88000</v>
      </c>
      <c r="E129" s="943">
        <v>1</v>
      </c>
      <c r="F129" s="972">
        <v>10</v>
      </c>
      <c r="G129" s="974">
        <f t="shared" si="45"/>
        <v>8800</v>
      </c>
      <c r="H129" s="782">
        <f t="shared" si="46"/>
        <v>0.1</v>
      </c>
      <c r="I129" s="782"/>
      <c r="J129" s="985" t="s">
        <v>930</v>
      </c>
      <c r="K129" s="68"/>
    </row>
    <row r="130" spans="1:11" x14ac:dyDescent="0.25">
      <c r="A130" s="969"/>
      <c r="B130" s="969"/>
      <c r="C130" s="969" t="str">
        <f>C32</f>
        <v>Mooring</v>
      </c>
      <c r="D130" s="971">
        <f>'1.3'!I10/'1.3'!I3</f>
        <v>727495.46986116166</v>
      </c>
      <c r="E130" s="943">
        <v>1</v>
      </c>
      <c r="F130" s="972">
        <v>50</v>
      </c>
      <c r="G130" s="781">
        <f t="shared" si="45"/>
        <v>14549.909397223233</v>
      </c>
      <c r="H130" s="782">
        <f t="shared" si="46"/>
        <v>0.02</v>
      </c>
      <c r="I130" s="782">
        <f>H130</f>
        <v>0.02</v>
      </c>
      <c r="J130" s="985"/>
      <c r="K130" s="68"/>
    </row>
    <row r="131" spans="1:11" x14ac:dyDescent="0.25">
      <c r="A131" s="969"/>
      <c r="B131" s="976"/>
      <c r="C131" s="976"/>
      <c r="D131" s="981"/>
      <c r="E131" s="982"/>
      <c r="F131" s="977"/>
      <c r="G131" s="983"/>
      <c r="H131" s="958"/>
      <c r="I131" s="977"/>
      <c r="J131" s="387"/>
      <c r="K131" s="68"/>
    </row>
    <row r="132" spans="1:11" ht="15.75" thickBot="1" x14ac:dyDescent="0.3">
      <c r="A132" s="846"/>
      <c r="B132" s="846" t="s">
        <v>80</v>
      </c>
      <c r="C132" s="846"/>
      <c r="D132" s="963">
        <f>SUM(D111:D130)</f>
        <v>984572.19575738895</v>
      </c>
      <c r="E132" s="959"/>
      <c r="F132" s="966"/>
      <c r="G132" s="967">
        <f>SUM(G111:G130)</f>
        <v>41904.806545043728</v>
      </c>
      <c r="H132" s="967">
        <f t="shared" ref="H132:I132" si="48">SUM(H111:H130)</f>
        <v>1.7533333333333336</v>
      </c>
      <c r="I132" s="967">
        <f t="shared" si="48"/>
        <v>0.74500000000000011</v>
      </c>
      <c r="J132" s="846"/>
      <c r="K132" s="68"/>
    </row>
    <row r="133" spans="1:11" x14ac:dyDescent="0.25">
      <c r="A133" s="969"/>
      <c r="B133" s="969"/>
      <c r="C133" s="969"/>
      <c r="D133" s="969"/>
      <c r="E133" s="984"/>
      <c r="F133" s="969"/>
      <c r="G133" s="980"/>
      <c r="H133" s="979"/>
      <c r="I133" s="979"/>
      <c r="K133" s="68"/>
    </row>
    <row r="134" spans="1:11" x14ac:dyDescent="0.25">
      <c r="A134" s="969"/>
      <c r="B134" s="969" t="s">
        <v>415</v>
      </c>
      <c r="C134" s="969"/>
      <c r="D134" s="974">
        <f>G132/'Performance &amp; Economics'!$E$17</f>
        <v>116.31177568847488</v>
      </c>
      <c r="E134" s="984"/>
      <c r="F134" s="969"/>
      <c r="G134" s="980"/>
      <c r="H134" s="979"/>
      <c r="I134" s="979"/>
      <c r="K134" s="68"/>
    </row>
    <row r="135" spans="1:11" x14ac:dyDescent="0.25">
      <c r="D135" s="68"/>
      <c r="E135" s="68"/>
      <c r="F135" s="68"/>
      <c r="G135" s="68"/>
      <c r="K135" s="68"/>
    </row>
    <row r="136" spans="1:11" x14ac:dyDescent="0.25">
      <c r="A136" s="988" t="s">
        <v>438</v>
      </c>
      <c r="B136" s="985"/>
      <c r="C136" s="985"/>
      <c r="D136" s="985"/>
      <c r="E136" s="996" t="s">
        <v>259</v>
      </c>
      <c r="F136" s="993" t="s">
        <v>65</v>
      </c>
      <c r="G136" s="993"/>
      <c r="H136" s="745"/>
      <c r="I136" s="745"/>
      <c r="J136" s="745"/>
      <c r="K136" s="745"/>
    </row>
    <row r="137" spans="1:11" x14ac:dyDescent="0.25">
      <c r="A137" s="985"/>
      <c r="B137" s="988"/>
      <c r="C137" s="988"/>
      <c r="D137" s="995">
        <v>1</v>
      </c>
      <c r="E137" s="997">
        <v>10</v>
      </c>
      <c r="F137" s="997">
        <v>50</v>
      </c>
      <c r="G137" s="997">
        <v>100</v>
      </c>
    </row>
    <row r="138" spans="1:11" x14ac:dyDescent="0.25">
      <c r="A138" s="985"/>
      <c r="B138" s="998" t="s">
        <v>80</v>
      </c>
      <c r="C138" s="998"/>
      <c r="D138" s="999">
        <f>G34</f>
        <v>63865.870810332555</v>
      </c>
      <c r="E138" s="961">
        <f>G66</f>
        <v>48197.097589425961</v>
      </c>
      <c r="F138" s="961">
        <f>G99</f>
        <v>43453.459626435157</v>
      </c>
      <c r="G138" s="961">
        <f>G132</f>
        <v>41904.806545043728</v>
      </c>
      <c r="K138" s="61"/>
    </row>
    <row r="139" spans="1:11" x14ac:dyDescent="0.25">
      <c r="D139" s="198"/>
      <c r="E139" s="199"/>
      <c r="F139" s="28"/>
      <c r="G139" s="28"/>
      <c r="H139" s="28"/>
      <c r="I139" s="28"/>
      <c r="J139" s="28"/>
      <c r="K139" s="200"/>
    </row>
    <row r="140" spans="1:11" x14ac:dyDescent="0.25">
      <c r="D140" s="198"/>
      <c r="E140" s="199"/>
      <c r="F140" s="28"/>
      <c r="G140" s="28"/>
      <c r="H140" s="28"/>
      <c r="I140" s="28"/>
      <c r="J140" s="28"/>
      <c r="K140" s="200"/>
    </row>
    <row r="141" spans="1:11" x14ac:dyDescent="0.25">
      <c r="D141" s="178"/>
      <c r="E141" s="178"/>
      <c r="F141" s="28"/>
      <c r="G141" s="28"/>
      <c r="H141" s="28"/>
      <c r="I141" s="28"/>
      <c r="J141" s="28"/>
      <c r="K141" s="200"/>
    </row>
    <row r="142" spans="1:11" x14ac:dyDescent="0.25">
      <c r="D142" s="481"/>
      <c r="E142" s="481"/>
      <c r="F142" s="28"/>
      <c r="G142" s="28"/>
      <c r="H142" s="28"/>
      <c r="I142" s="28"/>
      <c r="J142" s="28"/>
      <c r="K142" s="200"/>
    </row>
    <row r="143" spans="1:11" x14ac:dyDescent="0.25">
      <c r="D143" s="178"/>
      <c r="E143" s="178"/>
      <c r="F143" s="28"/>
      <c r="G143" s="28"/>
      <c r="H143" s="28"/>
      <c r="I143" s="28"/>
      <c r="J143" s="28"/>
      <c r="K143" s="200"/>
    </row>
    <row r="144" spans="1:11" x14ac:dyDescent="0.25">
      <c r="D144" s="178"/>
      <c r="E144" s="178"/>
      <c r="F144" s="28"/>
      <c r="G144" s="28"/>
      <c r="H144" s="28"/>
      <c r="I144" s="28"/>
      <c r="J144" s="28"/>
      <c r="K144" s="200"/>
    </row>
    <row r="146" spans="1:3" x14ac:dyDescent="0.25">
      <c r="A146" s="174"/>
      <c r="B146" s="68"/>
      <c r="C146" s="68"/>
    </row>
    <row r="147" spans="1:3" x14ac:dyDescent="0.25">
      <c r="A147" s="595"/>
      <c r="B147" s="745"/>
      <c r="C147" s="745"/>
    </row>
    <row r="148" spans="1:3" x14ac:dyDescent="0.25">
      <c r="A148" s="253"/>
      <c r="B148" s="387"/>
    </row>
    <row r="149" spans="1:3" x14ac:dyDescent="0.25">
      <c r="A149" s="253"/>
      <c r="B149" s="68"/>
      <c r="C149" s="68"/>
    </row>
    <row r="150" spans="1:3" x14ac:dyDescent="0.25">
      <c r="A150" s="253"/>
      <c r="B150" s="198"/>
      <c r="C150" s="198"/>
    </row>
    <row r="151" spans="1:3" x14ac:dyDescent="0.25">
      <c r="A151" s="174"/>
      <c r="B151" s="198"/>
      <c r="C151" s="198"/>
    </row>
    <row r="152" spans="1:3" x14ac:dyDescent="0.25">
      <c r="A152" s="68"/>
      <c r="B152" s="178"/>
      <c r="C152" s="178"/>
    </row>
    <row r="153" spans="1:3" x14ac:dyDescent="0.25">
      <c r="A153" s="745"/>
      <c r="B153" s="481"/>
      <c r="C153" s="481"/>
    </row>
    <row r="154" spans="1:3" x14ac:dyDescent="0.25">
      <c r="A154" s="68"/>
      <c r="B154" s="178"/>
      <c r="C154" s="178"/>
    </row>
    <row r="155" spans="1:3" x14ac:dyDescent="0.25">
      <c r="A155" s="68"/>
      <c r="B155" s="178"/>
      <c r="C155" s="178"/>
    </row>
  </sheetData>
  <mergeCells count="11">
    <mergeCell ref="B34:C34"/>
    <mergeCell ref="B42:H42"/>
    <mergeCell ref="B66:C66"/>
    <mergeCell ref="B44:H44"/>
    <mergeCell ref="B56:H56"/>
    <mergeCell ref="B60:H60"/>
    <mergeCell ref="E3:H3"/>
    <mergeCell ref="B10:H10"/>
    <mergeCell ref="B24:H24"/>
    <mergeCell ref="B28:H28"/>
    <mergeCell ref="B12:H12"/>
  </mergeCells>
  <dataValidations disablePrompts="1" count="1">
    <dataValidation type="list" showInputMessage="1" showErrorMessage="1" sqref="E139:E144 E102">
      <formula1>$V$4:$V$89</formula1>
    </dataValidation>
  </dataValidations>
  <pageMargins left="0.7" right="0.7" top="0.75" bottom="0.75" header="0.3" footer="0.3"/>
  <pageSetup orientation="portrait" horizontalDpi="4294967293"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R25"/>
  <sheetViews>
    <sheetView zoomScale="70" zoomScaleNormal="70" zoomScalePageLayoutView="70" workbookViewId="0">
      <selection activeCell="B22" sqref="B22"/>
    </sheetView>
  </sheetViews>
  <sheetFormatPr defaultColWidth="8.85546875" defaultRowHeight="15" x14ac:dyDescent="0.25"/>
  <cols>
    <col min="1" max="1" width="5" customWidth="1"/>
    <col min="2" max="2" width="5.42578125" customWidth="1"/>
    <col min="3" max="3" width="38.28515625" customWidth="1"/>
    <col min="4" max="4" width="14.42578125" bestFit="1" customWidth="1"/>
    <col min="5" max="5" width="14.42578125" customWidth="1"/>
    <col min="6" max="6" width="14.7109375" customWidth="1"/>
    <col min="7" max="7" width="12.42578125" customWidth="1"/>
    <col min="8" max="8" width="14.140625" customWidth="1"/>
  </cols>
  <sheetData>
    <row r="1" spans="1:18" x14ac:dyDescent="0.25">
      <c r="A1" s="427" t="s">
        <v>374</v>
      </c>
    </row>
    <row r="3" spans="1:18" x14ac:dyDescent="0.25">
      <c r="A3" s="40" t="s">
        <v>109</v>
      </c>
      <c r="D3" s="38" t="s">
        <v>65</v>
      </c>
      <c r="E3" s="44">
        <v>1</v>
      </c>
      <c r="F3" s="44">
        <v>10</v>
      </c>
      <c r="G3" s="44">
        <v>50</v>
      </c>
      <c r="H3" s="44">
        <v>100</v>
      </c>
      <c r="I3" s="38"/>
      <c r="J3" s="38"/>
      <c r="K3" s="38"/>
      <c r="L3" s="38"/>
      <c r="M3" s="38"/>
      <c r="N3" s="38"/>
      <c r="O3" s="38"/>
    </row>
    <row r="4" spans="1:18" x14ac:dyDescent="0.25">
      <c r="A4" s="40"/>
      <c r="B4">
        <v>2.6</v>
      </c>
      <c r="C4" t="s">
        <v>56</v>
      </c>
      <c r="D4" s="38"/>
      <c r="E4" s="391">
        <f>$D$18*E3</f>
        <v>13500</v>
      </c>
      <c r="F4" s="391">
        <f>$D$18*F3</f>
        <v>135000</v>
      </c>
      <c r="G4" s="391">
        <f>$D$18*G3</f>
        <v>675000</v>
      </c>
      <c r="H4" s="391">
        <f>$D$18*H3</f>
        <v>1350000</v>
      </c>
      <c r="I4" s="38"/>
      <c r="J4" s="38"/>
      <c r="K4" s="38"/>
      <c r="L4" s="38"/>
      <c r="M4" s="38"/>
      <c r="N4" s="38"/>
      <c r="O4" s="38"/>
      <c r="P4" s="8"/>
      <c r="Q4" s="8"/>
      <c r="R4" s="8"/>
    </row>
    <row r="5" spans="1:18" x14ac:dyDescent="0.25">
      <c r="D5" s="34"/>
      <c r="E5" s="38"/>
      <c r="F5" s="38"/>
      <c r="G5" s="38"/>
      <c r="H5" s="38"/>
      <c r="I5" s="38"/>
      <c r="J5" s="38"/>
      <c r="K5" s="38"/>
      <c r="L5" s="38"/>
      <c r="M5" s="38"/>
      <c r="N5" s="38"/>
      <c r="O5" s="38"/>
      <c r="P5" s="8"/>
      <c r="Q5" s="8"/>
      <c r="R5" s="8"/>
    </row>
    <row r="6" spans="1:18" ht="18" customHeight="1" x14ac:dyDescent="0.25">
      <c r="A6" s="427" t="s">
        <v>440</v>
      </c>
      <c r="D6" s="591" t="s">
        <v>441</v>
      </c>
      <c r="G6" s="38"/>
      <c r="H6" s="38"/>
      <c r="I6" s="38"/>
      <c r="J6" s="38"/>
      <c r="K6" s="38"/>
      <c r="L6" s="38"/>
      <c r="M6" s="38"/>
      <c r="N6" s="38"/>
      <c r="O6" s="38"/>
      <c r="P6" s="8"/>
      <c r="Q6" s="8"/>
      <c r="R6" s="8"/>
    </row>
    <row r="7" spans="1:18" x14ac:dyDescent="0.25">
      <c r="A7" s="281"/>
      <c r="B7" t="s">
        <v>960</v>
      </c>
      <c r="D7" s="588">
        <f>'1.5'!N37/2</f>
        <v>7750</v>
      </c>
      <c r="G7" s="38"/>
      <c r="H7" s="38"/>
      <c r="I7" s="38"/>
      <c r="J7" s="38"/>
      <c r="K7" s="38"/>
      <c r="L7" s="38"/>
      <c r="M7" s="38"/>
      <c r="N7" s="38"/>
      <c r="O7" s="38"/>
      <c r="P7" s="8"/>
      <c r="Q7" s="8"/>
      <c r="R7" s="8"/>
    </row>
    <row r="8" spans="1:18" x14ac:dyDescent="0.25">
      <c r="B8" t="s">
        <v>958</v>
      </c>
      <c r="C8" s="196"/>
      <c r="D8" s="197">
        <f>'1.5'!N33</f>
        <v>2850</v>
      </c>
    </row>
    <row r="9" spans="1:18" s="478" customFormat="1" x14ac:dyDescent="0.25">
      <c r="B9" s="478" t="s">
        <v>959</v>
      </c>
      <c r="C9" s="196"/>
      <c r="D9" s="197">
        <f>'1.5'!N34</f>
        <v>2900</v>
      </c>
    </row>
    <row r="10" spans="1:18" s="478" customFormat="1" x14ac:dyDescent="0.25">
      <c r="B10" s="478" t="s">
        <v>17</v>
      </c>
      <c r="D10" s="1003">
        <f>SUM(D7:D9)*0.1</f>
        <v>1350</v>
      </c>
    </row>
    <row r="11" spans="1:18" x14ac:dyDescent="0.25">
      <c r="D11" s="1003"/>
    </row>
    <row r="12" spans="1:18" s="253" customFormat="1" x14ac:dyDescent="0.25"/>
    <row r="13" spans="1:18" s="253" customFormat="1" x14ac:dyDescent="0.25"/>
    <row r="14" spans="1:18" s="253" customFormat="1" x14ac:dyDescent="0.25"/>
    <row r="15" spans="1:18" s="253" customFormat="1" x14ac:dyDescent="0.25"/>
    <row r="16" spans="1:18" s="253" customFormat="1" x14ac:dyDescent="0.25"/>
    <row r="17" spans="1:5" s="253" customFormat="1" x14ac:dyDescent="0.25"/>
    <row r="18" spans="1:5" s="253" customFormat="1" x14ac:dyDescent="0.25">
      <c r="A18" s="478"/>
      <c r="B18" s="288" t="s">
        <v>80</v>
      </c>
      <c r="C18" s="589"/>
      <c r="D18" s="590">
        <f>SUM(D7:D9)</f>
        <v>13500</v>
      </c>
      <c r="E18" s="478"/>
    </row>
    <row r="19" spans="1:5" x14ac:dyDescent="0.25">
      <c r="C19" s="196"/>
      <c r="D19" s="197"/>
    </row>
    <row r="20" spans="1:5" x14ac:dyDescent="0.25">
      <c r="A20" s="174" t="s">
        <v>148</v>
      </c>
      <c r="B20" s="253"/>
      <c r="C20" s="253"/>
      <c r="D20" s="253"/>
      <c r="E20" s="253"/>
    </row>
    <row r="21" spans="1:5" x14ac:dyDescent="0.25">
      <c r="A21" s="253">
        <v>2.6</v>
      </c>
      <c r="B21" s="253" t="s">
        <v>720</v>
      </c>
      <c r="C21" s="253"/>
      <c r="D21" s="253"/>
      <c r="E21" s="253"/>
    </row>
    <row r="22" spans="1:5" x14ac:dyDescent="0.25">
      <c r="A22" s="253"/>
      <c r="B22" s="253"/>
      <c r="C22" s="253"/>
      <c r="D22" s="253"/>
      <c r="E22" s="253"/>
    </row>
    <row r="23" spans="1:5" x14ac:dyDescent="0.25">
      <c r="A23" s="253"/>
      <c r="B23" s="253"/>
      <c r="C23" s="253"/>
      <c r="D23" s="253"/>
      <c r="E23" s="253"/>
    </row>
    <row r="24" spans="1:5" x14ac:dyDescent="0.25">
      <c r="A24" s="174" t="s">
        <v>212</v>
      </c>
      <c r="B24" s="253"/>
      <c r="C24" s="253"/>
      <c r="D24" s="253"/>
      <c r="E24" s="253"/>
    </row>
    <row r="25" spans="1:5" x14ac:dyDescent="0.25">
      <c r="A25" s="253">
        <v>2.6</v>
      </c>
      <c r="B25" s="253" t="s">
        <v>284</v>
      </c>
      <c r="C25" s="253"/>
      <c r="D25" s="253"/>
      <c r="E25" s="253"/>
    </row>
  </sheetData>
  <dataValidations count="2">
    <dataValidation type="custom" showInputMessage="1" sqref="D6 C18:C19 C8:C9">
      <formula1>IF(#REF!="Defaults",#REF!,VALUE(#REF!))</formula1>
    </dataValidation>
    <dataValidation type="custom" showInputMessage="1" sqref="D6">
      <formula1>IF(#REF!="Defaults",#REF!,VALUE(#REF!))</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4"/>
  <sheetViews>
    <sheetView topLeftCell="A34" zoomScale="115" zoomScaleNormal="115" workbookViewId="0">
      <selection activeCell="G62" sqref="G62"/>
    </sheetView>
  </sheetViews>
  <sheetFormatPr defaultColWidth="9.140625" defaultRowHeight="15" x14ac:dyDescent="0.25"/>
  <cols>
    <col min="1" max="1" width="45" style="422" customWidth="1"/>
    <col min="2" max="2" width="25.7109375" style="422" bestFit="1" customWidth="1"/>
    <col min="3" max="3" width="11.42578125" style="422" bestFit="1" customWidth="1"/>
    <col min="4" max="4" width="9" style="422" bestFit="1" customWidth="1"/>
    <col min="5" max="5" width="16.42578125" style="422" bestFit="1" customWidth="1"/>
    <col min="6" max="6" width="16.85546875" style="422" bestFit="1" customWidth="1"/>
    <col min="7" max="7" width="17.28515625" style="422" bestFit="1" customWidth="1"/>
    <col min="8" max="11" width="9.140625" style="422"/>
    <col min="12" max="12" width="13.28515625" style="422" customWidth="1"/>
    <col min="13" max="13" width="15.7109375" style="422" bestFit="1" customWidth="1"/>
    <col min="14" max="14" width="9.140625" style="422"/>
    <col min="15" max="15" width="17" style="422" bestFit="1" customWidth="1"/>
    <col min="16" max="16" width="9.140625" style="422"/>
    <col min="17" max="17" width="12.42578125" style="422" bestFit="1" customWidth="1"/>
    <col min="18" max="18" width="20.28515625" style="422" customWidth="1"/>
    <col min="19" max="19" width="9.140625" style="422"/>
    <col min="20" max="20" width="15.28515625" style="422" bestFit="1" customWidth="1"/>
    <col min="21" max="16384" width="9.140625" style="422"/>
  </cols>
  <sheetData>
    <row r="2" spans="1:21" ht="23.25" x14ac:dyDescent="0.35">
      <c r="A2" s="721" t="s">
        <v>533</v>
      </c>
      <c r="B2" s="721"/>
      <c r="C2" s="721"/>
      <c r="D2" s="721"/>
      <c r="E2" s="721"/>
      <c r="F2" s="721"/>
      <c r="G2" s="721"/>
    </row>
    <row r="4" spans="1:21" s="731" customFormat="1" x14ac:dyDescent="0.25">
      <c r="A4" s="731" t="s">
        <v>534</v>
      </c>
      <c r="B4" s="731" t="s">
        <v>583</v>
      </c>
      <c r="C4" s="731" t="s">
        <v>578</v>
      </c>
      <c r="D4" s="731" t="s">
        <v>581</v>
      </c>
      <c r="E4" s="731" t="s">
        <v>580</v>
      </c>
      <c r="F4" s="731" t="s">
        <v>582</v>
      </c>
      <c r="G4" s="731" t="s">
        <v>579</v>
      </c>
      <c r="H4" s="723" t="s">
        <v>535</v>
      </c>
      <c r="I4" s="723" t="s">
        <v>536</v>
      </c>
      <c r="J4" s="723" t="s">
        <v>537</v>
      </c>
      <c r="K4" s="723" t="s">
        <v>538</v>
      </c>
      <c r="L4" s="723" t="s">
        <v>539</v>
      </c>
      <c r="M4" s="723" t="s">
        <v>540</v>
      </c>
      <c r="N4" s="723" t="s">
        <v>541</v>
      </c>
      <c r="O4" s="723" t="s">
        <v>542</v>
      </c>
      <c r="P4" s="723" t="s">
        <v>543</v>
      </c>
      <c r="Q4" s="723" t="s">
        <v>544</v>
      </c>
      <c r="R4" s="723" t="s">
        <v>545</v>
      </c>
      <c r="S4" s="723" t="s">
        <v>546</v>
      </c>
      <c r="T4" s="723" t="s">
        <v>547</v>
      </c>
      <c r="U4" s="731" t="s">
        <v>548</v>
      </c>
    </row>
    <row r="5" spans="1:21" x14ac:dyDescent="0.25">
      <c r="C5" s="422" t="s">
        <v>586</v>
      </c>
      <c r="D5" s="422" t="s">
        <v>502</v>
      </c>
      <c r="E5" s="422" t="s">
        <v>586</v>
      </c>
      <c r="F5" s="422" t="s">
        <v>587</v>
      </c>
      <c r="G5" s="422" t="s">
        <v>516</v>
      </c>
      <c r="H5" s="722" t="s">
        <v>549</v>
      </c>
      <c r="I5" s="722" t="s">
        <v>550</v>
      </c>
      <c r="J5" s="722" t="s">
        <v>551</v>
      </c>
      <c r="K5" s="722" t="s">
        <v>552</v>
      </c>
      <c r="L5" s="722" t="s">
        <v>549</v>
      </c>
      <c r="M5" s="722" t="s">
        <v>553</v>
      </c>
      <c r="N5" s="722" t="s">
        <v>554</v>
      </c>
      <c r="O5" s="723" t="s">
        <v>555</v>
      </c>
      <c r="P5" s="723"/>
      <c r="Q5" s="723" t="s">
        <v>259</v>
      </c>
      <c r="R5" s="723"/>
      <c r="S5" s="723" t="s">
        <v>556</v>
      </c>
      <c r="T5" s="723"/>
    </row>
    <row r="6" spans="1:21" x14ac:dyDescent="0.25">
      <c r="A6" s="727" t="s">
        <v>557</v>
      </c>
      <c r="B6" s="727" t="s">
        <v>585</v>
      </c>
      <c r="C6" s="735">
        <f>O6/2.204</f>
        <v>256.77551968859171</v>
      </c>
      <c r="D6" s="422">
        <f t="shared" ref="D6:D25" si="0">P6</f>
        <v>13</v>
      </c>
      <c r="E6" s="735">
        <f t="shared" ref="E6:E25" si="1">C6*D6</f>
        <v>3338.0817559516922</v>
      </c>
      <c r="F6" s="725">
        <f>S6*2.204</f>
        <v>30.856000000000002</v>
      </c>
      <c r="G6" s="725">
        <f t="shared" ref="G6:G25" si="2">F6*E6</f>
        <v>102999.85066164543</v>
      </c>
      <c r="H6" s="722">
        <v>137.9</v>
      </c>
      <c r="I6" s="722">
        <v>125</v>
      </c>
      <c r="J6" s="722">
        <v>2663.5286287499998</v>
      </c>
      <c r="K6" s="722">
        <v>11533548.409408318</v>
      </c>
      <c r="L6" s="722">
        <v>0.75</v>
      </c>
      <c r="M6" s="722"/>
      <c r="N6" s="722">
        <v>0.2833</v>
      </c>
      <c r="O6" s="728">
        <v>565.93324539365619</v>
      </c>
      <c r="P6" s="727">
        <v>13</v>
      </c>
      <c r="Q6" s="728">
        <v>7357.1321901175306</v>
      </c>
      <c r="R6" s="727"/>
      <c r="S6" s="729">
        <v>14</v>
      </c>
      <c r="T6" s="730">
        <v>102999.85066164543</v>
      </c>
      <c r="U6" s="727" t="s">
        <v>558</v>
      </c>
    </row>
    <row r="7" spans="1:21" x14ac:dyDescent="0.25">
      <c r="A7" s="422" t="s">
        <v>559</v>
      </c>
      <c r="B7" s="727" t="s">
        <v>585</v>
      </c>
      <c r="C7" s="735">
        <f t="shared" ref="C7:C25" si="3">O7/2.204</f>
        <v>10823.366894122933</v>
      </c>
      <c r="D7" s="422">
        <f t="shared" si="0"/>
        <v>1</v>
      </c>
      <c r="E7" s="735">
        <f t="shared" si="1"/>
        <v>10823.366894122933</v>
      </c>
      <c r="F7" s="725">
        <f t="shared" ref="F7:F25" si="4">S7*2.204</f>
        <v>30.856000000000002</v>
      </c>
      <c r="G7" s="725">
        <f t="shared" si="2"/>
        <v>333965.80888505722</v>
      </c>
      <c r="H7" s="722">
        <v>125</v>
      </c>
      <c r="I7" s="722">
        <v>123.5</v>
      </c>
      <c r="J7" s="722">
        <v>292.74853125000004</v>
      </c>
      <c r="K7" s="722">
        <v>1129908.698317383</v>
      </c>
      <c r="L7" s="722">
        <v>287.62900000000002</v>
      </c>
      <c r="M7" s="722"/>
      <c r="N7" s="722">
        <v>0.2833</v>
      </c>
      <c r="O7" s="724">
        <v>23854.700634646946</v>
      </c>
      <c r="P7" s="422">
        <v>1</v>
      </c>
      <c r="Q7" s="724">
        <v>23854.700634646946</v>
      </c>
      <c r="S7" s="725">
        <v>14</v>
      </c>
      <c r="T7" s="726">
        <v>333965.80888505722</v>
      </c>
      <c r="U7" s="422" t="s">
        <v>558</v>
      </c>
    </row>
    <row r="8" spans="1:21" x14ac:dyDescent="0.25">
      <c r="A8" s="422" t="s">
        <v>560</v>
      </c>
      <c r="B8" s="727" t="s">
        <v>585</v>
      </c>
      <c r="C8" s="735">
        <f t="shared" si="3"/>
        <v>1919.9065804529259</v>
      </c>
      <c r="D8" s="422">
        <f t="shared" si="0"/>
        <v>2</v>
      </c>
      <c r="E8" s="735">
        <f t="shared" si="1"/>
        <v>3839.8131609058519</v>
      </c>
      <c r="F8" s="725">
        <f t="shared" si="4"/>
        <v>18.9544</v>
      </c>
      <c r="G8" s="725">
        <f t="shared" si="2"/>
        <v>72781.354577073871</v>
      </c>
      <c r="H8" s="722">
        <v>56.3</v>
      </c>
      <c r="I8" s="722">
        <v>0</v>
      </c>
      <c r="J8" s="722">
        <v>2489.3952837499996</v>
      </c>
      <c r="K8" s="722">
        <v>986326.41711869196</v>
      </c>
      <c r="L8" s="722">
        <v>6</v>
      </c>
      <c r="N8" s="722">
        <v>0.2833</v>
      </c>
      <c r="O8" s="724">
        <v>4231.474103318249</v>
      </c>
      <c r="P8" s="422">
        <v>2</v>
      </c>
      <c r="Q8" s="724">
        <v>8462.9482066364981</v>
      </c>
      <c r="R8" s="422" t="s">
        <v>561</v>
      </c>
      <c r="S8" s="725">
        <v>8.6</v>
      </c>
      <c r="T8" s="726">
        <v>72781.354577073886</v>
      </c>
    </row>
    <row r="9" spans="1:21" x14ac:dyDescent="0.25">
      <c r="A9" s="422" t="s">
        <v>562</v>
      </c>
      <c r="B9" s="727" t="s">
        <v>585</v>
      </c>
      <c r="C9" s="735">
        <f t="shared" si="3"/>
        <v>2129.3388425499643</v>
      </c>
      <c r="D9" s="422">
        <f t="shared" si="0"/>
        <v>2</v>
      </c>
      <c r="E9" s="735">
        <f t="shared" si="1"/>
        <v>4258.6776850999286</v>
      </c>
      <c r="F9" s="725">
        <f t="shared" si="4"/>
        <v>18.9544</v>
      </c>
      <c r="G9" s="725">
        <f t="shared" si="2"/>
        <v>80720.680314458092</v>
      </c>
      <c r="H9" s="722">
        <v>56.3</v>
      </c>
      <c r="I9" s="722">
        <v>52.3</v>
      </c>
      <c r="J9" s="722">
        <v>341.16690000000011</v>
      </c>
      <c r="K9" s="722">
        <v>251822.96514524991</v>
      </c>
      <c r="L9" s="722">
        <v>48.555999999999997</v>
      </c>
      <c r="M9" s="722"/>
      <c r="N9" s="722">
        <v>0.2833</v>
      </c>
      <c r="O9" s="724">
        <v>4693.0628089801221</v>
      </c>
      <c r="P9" s="422">
        <v>2</v>
      </c>
      <c r="Q9" s="724">
        <v>9386.1256179602442</v>
      </c>
      <c r="R9" s="422" t="s">
        <v>561</v>
      </c>
      <c r="S9" s="725">
        <v>8.6</v>
      </c>
      <c r="T9" s="726">
        <v>80720.680314458092</v>
      </c>
    </row>
    <row r="10" spans="1:21" x14ac:dyDescent="0.25">
      <c r="A10" s="422" t="s">
        <v>563</v>
      </c>
      <c r="B10" s="727" t="s">
        <v>585</v>
      </c>
      <c r="C10" s="735">
        <f t="shared" si="3"/>
        <v>260.98216172653406</v>
      </c>
      <c r="D10" s="422">
        <f t="shared" si="0"/>
        <v>2</v>
      </c>
      <c r="E10" s="735">
        <f t="shared" si="1"/>
        <v>521.96432345306812</v>
      </c>
      <c r="F10" s="725">
        <f t="shared" si="4"/>
        <v>18.9544</v>
      </c>
      <c r="G10" s="725">
        <f t="shared" si="2"/>
        <v>9893.5205724588341</v>
      </c>
      <c r="H10" s="722">
        <v>52.3</v>
      </c>
      <c r="I10" s="722">
        <v>12.25</v>
      </c>
      <c r="J10" s="722">
        <v>2030.3730478124996</v>
      </c>
      <c r="K10" s="722">
        <v>732292.74367980182</v>
      </c>
      <c r="L10" s="722">
        <v>1</v>
      </c>
      <c r="M10" s="722"/>
      <c r="N10" s="722">
        <v>0.2833</v>
      </c>
      <c r="O10" s="724">
        <v>575.20468444528115</v>
      </c>
      <c r="P10" s="422">
        <v>2</v>
      </c>
      <c r="Q10" s="724">
        <v>1150.4093688905623</v>
      </c>
      <c r="R10" s="422" t="s">
        <v>561</v>
      </c>
      <c r="S10" s="725">
        <v>8.6</v>
      </c>
      <c r="T10" s="726">
        <v>9893.5205724588359</v>
      </c>
    </row>
    <row r="11" spans="1:21" x14ac:dyDescent="0.25">
      <c r="A11" s="732" t="s">
        <v>527</v>
      </c>
      <c r="B11" s="727" t="s">
        <v>585</v>
      </c>
      <c r="C11" s="735">
        <f t="shared" si="3"/>
        <v>1618.0291196161279</v>
      </c>
      <c r="D11" s="422">
        <f t="shared" si="0"/>
        <v>2</v>
      </c>
      <c r="E11" s="735">
        <f t="shared" si="1"/>
        <v>3236.0582392322558</v>
      </c>
      <c r="F11" s="725">
        <f t="shared" si="4"/>
        <v>18.9544</v>
      </c>
      <c r="G11" s="725">
        <f t="shared" si="2"/>
        <v>61337.542289703866</v>
      </c>
      <c r="H11" s="722">
        <v>43.74</v>
      </c>
      <c r="I11" s="722">
        <v>5.25</v>
      </c>
      <c r="J11" s="722">
        <v>1480.9228129125001</v>
      </c>
      <c r="K11" s="722">
        <v>359262.63715652702</v>
      </c>
      <c r="L11" s="722">
        <v>8.5</v>
      </c>
      <c r="M11" s="722"/>
      <c r="N11" s="722">
        <v>0.2833</v>
      </c>
      <c r="O11" s="724">
        <v>3566.1361796339461</v>
      </c>
      <c r="P11" s="422">
        <v>2</v>
      </c>
      <c r="Q11" s="724">
        <v>7132.2723592678922</v>
      </c>
      <c r="R11" s="422" t="s">
        <v>561</v>
      </c>
      <c r="S11" s="725">
        <v>8.6</v>
      </c>
      <c r="T11" s="726">
        <v>61337.542289703873</v>
      </c>
    </row>
    <row r="12" spans="1:21" x14ac:dyDescent="0.25">
      <c r="A12" s="732" t="s">
        <v>564</v>
      </c>
      <c r="B12" s="727" t="s">
        <v>585</v>
      </c>
      <c r="C12" s="735">
        <f t="shared" si="3"/>
        <v>2437.3689792196005</v>
      </c>
      <c r="D12" s="422">
        <f t="shared" si="0"/>
        <v>1</v>
      </c>
      <c r="E12" s="735">
        <f t="shared" si="1"/>
        <v>2437.3689792196005</v>
      </c>
      <c r="F12" s="725">
        <f t="shared" si="4"/>
        <v>18.9544</v>
      </c>
      <c r="G12" s="725">
        <f t="shared" si="2"/>
        <v>46198.866579719994</v>
      </c>
      <c r="H12" s="722">
        <v>56.3</v>
      </c>
      <c r="I12" s="722">
        <v>44.3</v>
      </c>
      <c r="J12" s="722">
        <v>948.10469999999987</v>
      </c>
      <c r="K12" s="722">
        <v>608230.49740574975</v>
      </c>
      <c r="L12" s="722">
        <v>20</v>
      </c>
      <c r="M12" s="722"/>
      <c r="N12" s="722">
        <v>0.2833</v>
      </c>
      <c r="O12" s="724">
        <v>5371.9612301999996</v>
      </c>
      <c r="P12" s="422">
        <v>1</v>
      </c>
      <c r="Q12" s="724">
        <v>5371.9612301999996</v>
      </c>
      <c r="R12" s="422" t="s">
        <v>561</v>
      </c>
      <c r="S12" s="725">
        <v>8.6</v>
      </c>
      <c r="T12" s="726">
        <v>46198.866579719994</v>
      </c>
    </row>
    <row r="13" spans="1:21" x14ac:dyDescent="0.25">
      <c r="A13" s="732" t="s">
        <v>565</v>
      </c>
      <c r="B13" s="727" t="s">
        <v>585</v>
      </c>
      <c r="C13" s="735">
        <f t="shared" si="3"/>
        <v>520.74735513611608</v>
      </c>
      <c r="D13" s="422">
        <f t="shared" si="0"/>
        <v>1</v>
      </c>
      <c r="E13" s="735">
        <f t="shared" si="1"/>
        <v>520.74735513611608</v>
      </c>
      <c r="F13" s="725">
        <f t="shared" si="4"/>
        <v>18.9544</v>
      </c>
      <c r="G13" s="725">
        <f t="shared" si="2"/>
        <v>9870.4536681919981</v>
      </c>
      <c r="H13" s="722">
        <v>44.3</v>
      </c>
      <c r="I13" s="722">
        <v>36.299999999999997</v>
      </c>
      <c r="J13" s="722">
        <v>506.40980000000002</v>
      </c>
      <c r="K13" s="722">
        <v>207639.4122205</v>
      </c>
      <c r="L13" s="722">
        <v>8</v>
      </c>
      <c r="M13" s="722"/>
      <c r="N13" s="722">
        <v>0.2833</v>
      </c>
      <c r="O13" s="724">
        <v>1147.72717072</v>
      </c>
      <c r="P13" s="422">
        <v>1</v>
      </c>
      <c r="Q13" s="724">
        <v>1147.72717072</v>
      </c>
      <c r="R13" s="422" t="s">
        <v>561</v>
      </c>
      <c r="S13" s="725">
        <v>8.6</v>
      </c>
      <c r="T13" s="726">
        <v>9870.4536681919999</v>
      </c>
    </row>
    <row r="14" spans="1:21" x14ac:dyDescent="0.25">
      <c r="A14" s="422" t="s">
        <v>566</v>
      </c>
      <c r="B14" s="727" t="s">
        <v>585</v>
      </c>
      <c r="C14" s="735">
        <f t="shared" si="3"/>
        <v>7322.4051149858151</v>
      </c>
      <c r="D14" s="422">
        <f t="shared" si="0"/>
        <v>1</v>
      </c>
      <c r="E14" s="735">
        <f t="shared" si="1"/>
        <v>7322.4051149858151</v>
      </c>
      <c r="F14" s="725">
        <f t="shared" si="4"/>
        <v>18.9544</v>
      </c>
      <c r="G14" s="725">
        <f t="shared" si="2"/>
        <v>138791.79551148714</v>
      </c>
      <c r="H14" s="722">
        <v>121.553</v>
      </c>
      <c r="I14" s="722">
        <v>56.3</v>
      </c>
      <c r="J14" s="722">
        <v>9114.6238607433752</v>
      </c>
      <c r="K14" s="722">
        <v>20445037.629637435</v>
      </c>
      <c r="L14" s="722">
        <v>6.25</v>
      </c>
      <c r="M14" s="722"/>
      <c r="N14" s="722">
        <v>0.2833</v>
      </c>
      <c r="O14" s="724">
        <v>16138.580873428738</v>
      </c>
      <c r="P14" s="422">
        <v>1</v>
      </c>
      <c r="Q14" s="724">
        <v>16138.580873428738</v>
      </c>
      <c r="R14" s="422" t="s">
        <v>561</v>
      </c>
      <c r="S14" s="725">
        <v>8.6</v>
      </c>
      <c r="T14" s="726">
        <v>138791.79551148714</v>
      </c>
    </row>
    <row r="15" spans="1:21" x14ac:dyDescent="0.25">
      <c r="A15" s="422" t="s">
        <v>528</v>
      </c>
      <c r="B15" s="727" t="s">
        <v>585</v>
      </c>
      <c r="C15" s="735">
        <f t="shared" si="3"/>
        <v>137.02278983214291</v>
      </c>
      <c r="D15" s="422">
        <f t="shared" si="0"/>
        <v>1</v>
      </c>
      <c r="E15" s="735">
        <f t="shared" si="1"/>
        <v>137.02278983214291</v>
      </c>
      <c r="F15" s="725">
        <f t="shared" si="4"/>
        <v>59.508000000000003</v>
      </c>
      <c r="G15" s="725">
        <f t="shared" si="2"/>
        <v>8153.9521773311608</v>
      </c>
      <c r="H15" s="722">
        <v>5.25</v>
      </c>
      <c r="I15" s="722">
        <v>0</v>
      </c>
      <c r="J15" s="722">
        <v>21.646898437500003</v>
      </c>
      <c r="K15" s="722">
        <v>74.580329772949227</v>
      </c>
      <c r="L15" s="722">
        <v>49.244999999999997</v>
      </c>
      <c r="M15" s="722"/>
      <c r="N15" s="722">
        <v>0.2833</v>
      </c>
      <c r="O15" s="724">
        <v>301.99822879004296</v>
      </c>
      <c r="P15" s="422">
        <v>1</v>
      </c>
      <c r="Q15" s="724">
        <v>301.99822879004296</v>
      </c>
      <c r="S15" s="725">
        <v>27</v>
      </c>
      <c r="T15" s="726">
        <v>8153.9521773311599</v>
      </c>
      <c r="U15" s="422" t="s">
        <v>558</v>
      </c>
    </row>
    <row r="16" spans="1:21" x14ac:dyDescent="0.25">
      <c r="A16" s="422" t="s">
        <v>529</v>
      </c>
      <c r="B16" s="727" t="s">
        <v>585</v>
      </c>
      <c r="C16" s="735">
        <f t="shared" si="3"/>
        <v>66.642571703806155</v>
      </c>
      <c r="D16" s="422">
        <f t="shared" si="0"/>
        <v>1</v>
      </c>
      <c r="E16" s="735">
        <f t="shared" si="1"/>
        <v>66.642571703806155</v>
      </c>
      <c r="F16" s="725">
        <f t="shared" si="4"/>
        <v>59.508000000000003</v>
      </c>
      <c r="G16" s="725">
        <f t="shared" si="2"/>
        <v>3965.766156950097</v>
      </c>
      <c r="H16" s="722">
        <v>13.878</v>
      </c>
      <c r="I16" s="722">
        <v>5.25</v>
      </c>
      <c r="J16" s="722">
        <v>129.615450084</v>
      </c>
      <c r="K16" s="722">
        <v>3567.0396097845451</v>
      </c>
      <c r="L16" s="722">
        <v>4</v>
      </c>
      <c r="M16" s="722"/>
      <c r="N16" s="722">
        <v>0.2833</v>
      </c>
      <c r="O16" s="724">
        <v>146.88022803518879</v>
      </c>
      <c r="P16" s="422">
        <v>1</v>
      </c>
      <c r="Q16" s="724">
        <v>146.88022803518879</v>
      </c>
      <c r="S16" s="725">
        <v>27</v>
      </c>
      <c r="T16" s="726">
        <v>3965.7661569500974</v>
      </c>
      <c r="U16" s="422" t="s">
        <v>558</v>
      </c>
    </row>
    <row r="17" spans="1:23" x14ac:dyDescent="0.25">
      <c r="A17" s="422" t="s">
        <v>530</v>
      </c>
      <c r="B17" s="727" t="s">
        <v>585</v>
      </c>
      <c r="C17" s="735">
        <f t="shared" si="3"/>
        <v>206.34805754800931</v>
      </c>
      <c r="D17" s="422">
        <f t="shared" si="0"/>
        <v>1</v>
      </c>
      <c r="E17" s="735">
        <f t="shared" si="1"/>
        <v>206.34805754800931</v>
      </c>
      <c r="F17" s="725">
        <f t="shared" si="4"/>
        <v>59.508000000000003</v>
      </c>
      <c r="G17" s="725">
        <f t="shared" si="2"/>
        <v>12279.360208566939</v>
      </c>
      <c r="H17" s="722">
        <v>5.25</v>
      </c>
      <c r="I17" s="722">
        <v>0</v>
      </c>
      <c r="J17" s="722">
        <v>21.646898437500003</v>
      </c>
      <c r="K17" s="722">
        <v>74.580329772949227</v>
      </c>
      <c r="L17" s="722">
        <v>74.16</v>
      </c>
      <c r="M17" s="722"/>
      <c r="N17" s="722">
        <v>0.2833</v>
      </c>
      <c r="O17" s="724">
        <v>454.79111883581254</v>
      </c>
      <c r="P17" s="422">
        <v>1</v>
      </c>
      <c r="Q17" s="724">
        <v>454.79111883581254</v>
      </c>
      <c r="S17" s="725">
        <v>27</v>
      </c>
      <c r="T17" s="726">
        <v>12279.360208566939</v>
      </c>
      <c r="U17" s="422" t="s">
        <v>558</v>
      </c>
    </row>
    <row r="18" spans="1:23" x14ac:dyDescent="0.25">
      <c r="A18" s="422" t="s">
        <v>531</v>
      </c>
      <c r="B18" s="727" t="s">
        <v>585</v>
      </c>
      <c r="C18" s="735">
        <f t="shared" si="3"/>
        <v>66.642571703806155</v>
      </c>
      <c r="D18" s="422">
        <f t="shared" si="0"/>
        <v>1</v>
      </c>
      <c r="E18" s="735">
        <f t="shared" si="1"/>
        <v>66.642571703806155</v>
      </c>
      <c r="F18" s="725">
        <f t="shared" si="4"/>
        <v>59.508000000000003</v>
      </c>
      <c r="G18" s="725">
        <f t="shared" si="2"/>
        <v>3965.766156950097</v>
      </c>
      <c r="H18" s="722">
        <v>13.878</v>
      </c>
      <c r="I18" s="722">
        <v>5.25</v>
      </c>
      <c r="J18" s="722">
        <v>129.615450084</v>
      </c>
      <c r="K18" s="722">
        <v>3567.0396097845451</v>
      </c>
      <c r="L18" s="722">
        <v>4</v>
      </c>
      <c r="M18" s="722"/>
      <c r="N18" s="722">
        <v>0.2833</v>
      </c>
      <c r="O18" s="724">
        <v>146.88022803518879</v>
      </c>
      <c r="P18" s="422">
        <v>1</v>
      </c>
      <c r="Q18" s="724">
        <v>146.88022803518879</v>
      </c>
      <c r="S18" s="725">
        <v>27</v>
      </c>
      <c r="T18" s="726">
        <v>3965.7661569500974</v>
      </c>
      <c r="U18" s="422" t="s">
        <v>558</v>
      </c>
    </row>
    <row r="19" spans="1:23" x14ac:dyDescent="0.25">
      <c r="A19" s="422" t="s">
        <v>567</v>
      </c>
      <c r="B19" s="727" t="s">
        <v>585</v>
      </c>
      <c r="C19" s="735">
        <f t="shared" si="3"/>
        <v>298.81594509981846</v>
      </c>
      <c r="D19" s="422">
        <f t="shared" si="0"/>
        <v>2</v>
      </c>
      <c r="E19" s="735">
        <f t="shared" si="1"/>
        <v>597.63189019963693</v>
      </c>
      <c r="F19" s="725">
        <f t="shared" si="4"/>
        <v>59.508000000000003</v>
      </c>
      <c r="G19" s="725">
        <f t="shared" si="2"/>
        <v>35563.878521999999</v>
      </c>
      <c r="H19" s="722">
        <v>11.25</v>
      </c>
      <c r="I19" s="722">
        <v>7.25</v>
      </c>
      <c r="J19" s="722">
        <v>58.117750000000001</v>
      </c>
      <c r="K19" s="722">
        <v>1301.2927460937501</v>
      </c>
      <c r="L19" s="722">
        <v>40</v>
      </c>
      <c r="M19" s="722"/>
      <c r="N19" s="722">
        <v>0.2833</v>
      </c>
      <c r="O19" s="724">
        <v>658.59034299999996</v>
      </c>
      <c r="P19" s="422">
        <v>2</v>
      </c>
      <c r="Q19" s="724">
        <v>1317.1806859999999</v>
      </c>
      <c r="R19" s="422" t="s">
        <v>568</v>
      </c>
      <c r="S19" s="725">
        <v>27</v>
      </c>
      <c r="T19" s="726">
        <v>35563.878521999999</v>
      </c>
      <c r="U19" s="422" t="s">
        <v>558</v>
      </c>
    </row>
    <row r="20" spans="1:23" x14ac:dyDescent="0.25">
      <c r="A20" s="422" t="s">
        <v>569</v>
      </c>
      <c r="B20" s="727" t="s">
        <v>585</v>
      </c>
      <c r="C20" s="735">
        <f t="shared" si="3"/>
        <v>297.07477689214835</v>
      </c>
      <c r="D20" s="422">
        <f t="shared" si="0"/>
        <v>2</v>
      </c>
      <c r="E20" s="735">
        <f t="shared" si="1"/>
        <v>594.1495537842967</v>
      </c>
      <c r="F20" s="725">
        <f t="shared" si="4"/>
        <v>59.508000000000003</v>
      </c>
      <c r="G20" s="725">
        <f t="shared" si="2"/>
        <v>35356.651646595928</v>
      </c>
      <c r="H20" s="722">
        <v>22.878</v>
      </c>
      <c r="I20" s="722">
        <v>7.25</v>
      </c>
      <c r="J20" s="722">
        <v>369.78626658399997</v>
      </c>
      <c r="K20" s="722">
        <v>26623.011128872491</v>
      </c>
      <c r="L20" s="722">
        <v>6.25</v>
      </c>
      <c r="M20" s="722"/>
      <c r="N20" s="722">
        <v>0.2833</v>
      </c>
      <c r="O20" s="724">
        <v>654.75280827029496</v>
      </c>
      <c r="P20" s="422">
        <v>2</v>
      </c>
      <c r="Q20" s="724">
        <v>1309.5056165405899</v>
      </c>
      <c r="S20" s="725">
        <v>27</v>
      </c>
      <c r="T20" s="726">
        <v>35356.651646595928</v>
      </c>
      <c r="U20" s="422" t="s">
        <v>558</v>
      </c>
    </row>
    <row r="21" spans="1:23" x14ac:dyDescent="0.25">
      <c r="A21" s="422" t="s">
        <v>532</v>
      </c>
      <c r="B21" s="727" t="s">
        <v>585</v>
      </c>
      <c r="C21" s="735">
        <f t="shared" si="3"/>
        <v>1143.4831215970962</v>
      </c>
      <c r="D21" s="422">
        <f t="shared" si="0"/>
        <v>2</v>
      </c>
      <c r="E21" s="735">
        <f t="shared" si="1"/>
        <v>2286.9662431941924</v>
      </c>
      <c r="F21" s="725">
        <f t="shared" si="4"/>
        <v>35.264000000000003</v>
      </c>
      <c r="G21" s="725">
        <f t="shared" si="2"/>
        <v>80647.577600000004</v>
      </c>
      <c r="H21" s="722"/>
      <c r="I21" s="722"/>
      <c r="J21" s="722">
        <v>0</v>
      </c>
      <c r="K21" s="722">
        <v>0</v>
      </c>
      <c r="L21" s="722"/>
      <c r="M21" s="722">
        <v>8896</v>
      </c>
      <c r="N21" s="722">
        <v>0.2833</v>
      </c>
      <c r="O21" s="724">
        <v>2520.2368000000001</v>
      </c>
      <c r="P21" s="422">
        <v>2</v>
      </c>
      <c r="Q21" s="724">
        <v>5040.4736000000003</v>
      </c>
      <c r="S21" s="725">
        <v>16</v>
      </c>
      <c r="T21" s="726">
        <v>80647.577600000004</v>
      </c>
      <c r="U21" s="422" t="s">
        <v>558</v>
      </c>
    </row>
    <row r="22" spans="1:23" x14ac:dyDescent="0.25">
      <c r="A22" s="422" t="s">
        <v>570</v>
      </c>
      <c r="B22" s="727" t="s">
        <v>585</v>
      </c>
      <c r="C22" s="735">
        <f t="shared" si="3"/>
        <v>3593.1685415548741</v>
      </c>
      <c r="D22" s="422">
        <f t="shared" si="0"/>
        <v>1</v>
      </c>
      <c r="E22" s="735">
        <f t="shared" si="1"/>
        <v>3593.1685415548741</v>
      </c>
      <c r="F22" s="725">
        <f t="shared" si="4"/>
        <v>35.264000000000003</v>
      </c>
      <c r="G22" s="725">
        <f t="shared" si="2"/>
        <v>126709.49544939109</v>
      </c>
      <c r="H22" s="722">
        <v>55.74</v>
      </c>
      <c r="I22" s="722">
        <v>51.74</v>
      </c>
      <c r="J22" s="722">
        <v>337.6484200000001</v>
      </c>
      <c r="K22" s="722">
        <v>244118.76094989799</v>
      </c>
      <c r="L22" s="722">
        <v>82.79</v>
      </c>
      <c r="M22" s="722"/>
      <c r="N22" s="722">
        <v>0.2833</v>
      </c>
      <c r="O22" s="724">
        <v>7919.3434655869432</v>
      </c>
      <c r="P22" s="422">
        <v>1</v>
      </c>
      <c r="Q22" s="724">
        <v>7919.3434655869432</v>
      </c>
      <c r="S22" s="725">
        <v>16</v>
      </c>
      <c r="T22" s="726">
        <v>126709.49544939109</v>
      </c>
      <c r="U22" s="422" t="s">
        <v>558</v>
      </c>
    </row>
    <row r="23" spans="1:23" x14ac:dyDescent="0.25">
      <c r="A23" s="422" t="s">
        <v>571</v>
      </c>
      <c r="B23" s="727" t="s">
        <v>585</v>
      </c>
      <c r="C23" s="735">
        <f t="shared" si="3"/>
        <v>256.852212416123</v>
      </c>
      <c r="D23" s="422">
        <f t="shared" si="0"/>
        <v>1</v>
      </c>
      <c r="E23" s="735">
        <f t="shared" si="1"/>
        <v>256.852212416123</v>
      </c>
      <c r="F23" s="725">
        <f t="shared" si="4"/>
        <v>35.264000000000003</v>
      </c>
      <c r="G23" s="725">
        <f t="shared" si="2"/>
        <v>9057.6364186421615</v>
      </c>
      <c r="H23" s="722">
        <v>51.74</v>
      </c>
      <c r="I23" s="722">
        <v>11.52</v>
      </c>
      <c r="J23" s="722">
        <v>1998.2431209500005</v>
      </c>
      <c r="K23" s="722">
        <v>701817.45377147663</v>
      </c>
      <c r="L23" s="722">
        <v>1</v>
      </c>
      <c r="M23" s="722"/>
      <c r="N23" s="722">
        <v>0.2833</v>
      </c>
      <c r="O23" s="724">
        <v>566.10227616513509</v>
      </c>
      <c r="P23" s="422">
        <v>1</v>
      </c>
      <c r="Q23" s="724">
        <v>566.10227616513509</v>
      </c>
      <c r="S23" s="725">
        <v>16</v>
      </c>
      <c r="T23" s="726">
        <v>9057.6364186421615</v>
      </c>
      <c r="U23" s="422" t="s">
        <v>558</v>
      </c>
    </row>
    <row r="24" spans="1:23" x14ac:dyDescent="0.25">
      <c r="A24" s="422" t="s">
        <v>572</v>
      </c>
      <c r="B24" s="727" t="s">
        <v>585</v>
      </c>
      <c r="C24" s="735">
        <f t="shared" si="3"/>
        <v>359.79055011343013</v>
      </c>
      <c r="D24" s="422">
        <f t="shared" si="0"/>
        <v>2</v>
      </c>
      <c r="E24" s="735">
        <f t="shared" si="1"/>
        <v>719.58110022686026</v>
      </c>
      <c r="F24" s="725">
        <f t="shared" si="4"/>
        <v>30.856000000000002</v>
      </c>
      <c r="G24" s="725">
        <f t="shared" si="2"/>
        <v>22203.394428600001</v>
      </c>
      <c r="H24" s="722">
        <v>5</v>
      </c>
      <c r="I24" s="722">
        <v>4</v>
      </c>
      <c r="J24" s="722">
        <v>7.0683750000000005</v>
      </c>
      <c r="K24" s="722">
        <v>36.225421875000002</v>
      </c>
      <c r="L24" s="722">
        <v>396</v>
      </c>
      <c r="M24" s="722"/>
      <c r="N24" s="722">
        <v>0.2833</v>
      </c>
      <c r="O24" s="724">
        <v>792.97837245000005</v>
      </c>
      <c r="P24" s="422">
        <v>2</v>
      </c>
      <c r="Q24" s="724">
        <v>1585.9567449000001</v>
      </c>
      <c r="R24" s="422" t="s">
        <v>573</v>
      </c>
      <c r="S24" s="725">
        <v>14</v>
      </c>
      <c r="T24" s="726">
        <v>22203.394428600001</v>
      </c>
      <c r="U24" s="422" t="s">
        <v>558</v>
      </c>
    </row>
    <row r="25" spans="1:23" x14ac:dyDescent="0.25">
      <c r="A25" s="422" t="s">
        <v>574</v>
      </c>
      <c r="B25" s="727" t="s">
        <v>585</v>
      </c>
      <c r="C25" s="735">
        <f t="shared" si="3"/>
        <v>499.09130671506352</v>
      </c>
      <c r="D25" s="422">
        <f t="shared" si="0"/>
        <v>1</v>
      </c>
      <c r="E25" s="735">
        <f t="shared" si="1"/>
        <v>499.09130671506352</v>
      </c>
      <c r="F25" s="725">
        <f t="shared" si="4"/>
        <v>59.508000000000003</v>
      </c>
      <c r="G25" s="725">
        <f t="shared" si="2"/>
        <v>29699.925480000002</v>
      </c>
      <c r="H25" s="722"/>
      <c r="I25" s="722"/>
      <c r="J25" s="722">
        <v>0</v>
      </c>
      <c r="K25" s="722">
        <v>0</v>
      </c>
      <c r="L25" s="722"/>
      <c r="M25" s="722">
        <v>3882.8</v>
      </c>
      <c r="N25" s="722">
        <v>0.2833</v>
      </c>
      <c r="O25" s="724">
        <v>1099.9972400000001</v>
      </c>
      <c r="P25" s="422">
        <v>1</v>
      </c>
      <c r="Q25" s="724">
        <v>1099.9972400000001</v>
      </c>
      <c r="R25" s="422" t="s">
        <v>575</v>
      </c>
      <c r="S25" s="725">
        <v>27</v>
      </c>
      <c r="T25" s="726">
        <v>29699.925480000005</v>
      </c>
      <c r="U25" s="422" t="s">
        <v>558</v>
      </c>
    </row>
    <row r="26" spans="1:23" x14ac:dyDescent="0.25">
      <c r="G26" s="725"/>
      <c r="O26" s="724"/>
      <c r="Q26" s="724"/>
      <c r="S26" s="725"/>
      <c r="T26" s="726"/>
    </row>
    <row r="27" spans="1:23" s="731" customFormat="1" x14ac:dyDescent="0.25">
      <c r="C27" s="739">
        <f>SUM(C6:C25)</f>
        <v>34213.853012674925</v>
      </c>
      <c r="D27" s="739">
        <f>SUM(D6:D25)</f>
        <v>40</v>
      </c>
      <c r="E27" s="739">
        <f>SUM(E6:E25)</f>
        <v>45322.580346986069</v>
      </c>
      <c r="F27" s="742"/>
      <c r="G27" s="742">
        <f>SUM(G6:G25)</f>
        <v>1224163.2773048244</v>
      </c>
      <c r="H27" s="723">
        <v>0</v>
      </c>
      <c r="I27" s="723">
        <v>0</v>
      </c>
      <c r="J27" s="723">
        <v>0</v>
      </c>
      <c r="K27" s="723">
        <v>0</v>
      </c>
      <c r="L27" s="723">
        <v>0</v>
      </c>
      <c r="M27" s="723"/>
      <c r="N27" s="723">
        <v>0.2833</v>
      </c>
      <c r="O27" s="743">
        <v>0</v>
      </c>
      <c r="P27" s="731">
        <v>1</v>
      </c>
      <c r="Q27" s="743">
        <v>0</v>
      </c>
      <c r="S27" s="742"/>
      <c r="T27" s="744"/>
    </row>
    <row r="28" spans="1:23" x14ac:dyDescent="0.25">
      <c r="C28" s="735"/>
      <c r="D28" s="735"/>
      <c r="P28" s="731" t="s">
        <v>576</v>
      </c>
      <c r="Q28" s="733">
        <v>106224.04401589428</v>
      </c>
      <c r="S28" s="731" t="s">
        <v>577</v>
      </c>
      <c r="T28" s="734">
        <v>1224163.2773048244</v>
      </c>
    </row>
    <row r="29" spans="1:23" x14ac:dyDescent="0.25">
      <c r="A29" s="595" t="s">
        <v>609</v>
      </c>
      <c r="B29" s="741"/>
      <c r="H29" s="741"/>
      <c r="I29" s="741"/>
      <c r="J29" s="741"/>
      <c r="K29" s="741"/>
      <c r="L29" s="741"/>
      <c r="M29" s="741"/>
    </row>
    <row r="30" spans="1:23" s="731" customFormat="1" x14ac:dyDescent="0.25">
      <c r="A30" s="740"/>
      <c r="B30" s="740"/>
      <c r="C30" s="740" t="s">
        <v>578</v>
      </c>
      <c r="D30" s="740" t="s">
        <v>581</v>
      </c>
      <c r="E30" s="740" t="s">
        <v>580</v>
      </c>
      <c r="F30" s="740" t="s">
        <v>582</v>
      </c>
      <c r="G30" s="740" t="s">
        <v>579</v>
      </c>
      <c r="H30" s="740"/>
      <c r="I30" s="740"/>
      <c r="J30" s="740"/>
      <c r="K30" s="740"/>
      <c r="L30" s="740"/>
      <c r="M30" s="740"/>
      <c r="N30" s="740"/>
      <c r="O30" s="740"/>
      <c r="P30" s="740"/>
      <c r="Q30" s="740"/>
      <c r="R30" s="740"/>
      <c r="S30" s="740"/>
      <c r="T30" s="740"/>
      <c r="U30" s="740"/>
      <c r="V30" s="740"/>
      <c r="W30" s="740"/>
    </row>
    <row r="31" spans="1:23" s="731" customFormat="1" x14ac:dyDescent="0.25">
      <c r="A31" s="731" t="s">
        <v>610</v>
      </c>
      <c r="B31" s="740" t="s">
        <v>583</v>
      </c>
      <c r="C31" s="731" t="s">
        <v>586</v>
      </c>
      <c r="D31" s="740" t="s">
        <v>502</v>
      </c>
      <c r="E31" s="731" t="s">
        <v>586</v>
      </c>
      <c r="F31" s="740" t="s">
        <v>587</v>
      </c>
      <c r="G31" s="731" t="s">
        <v>516</v>
      </c>
      <c r="H31" s="740" t="s">
        <v>611</v>
      </c>
      <c r="I31" s="731" t="s">
        <v>612</v>
      </c>
      <c r="J31" s="740" t="s">
        <v>613</v>
      </c>
      <c r="K31" s="731" t="s">
        <v>614</v>
      </c>
      <c r="L31" s="740" t="s">
        <v>615</v>
      </c>
      <c r="M31" s="731" t="s">
        <v>616</v>
      </c>
      <c r="N31" s="740" t="s">
        <v>617</v>
      </c>
      <c r="O31" s="731" t="s">
        <v>618</v>
      </c>
      <c r="P31" s="740" t="s">
        <v>619</v>
      </c>
      <c r="Q31" s="731" t="s">
        <v>620</v>
      </c>
      <c r="R31" s="740" t="s">
        <v>621</v>
      </c>
      <c r="S31" s="731" t="s">
        <v>622</v>
      </c>
      <c r="T31" s="740"/>
      <c r="V31" s="740"/>
    </row>
    <row r="32" spans="1:23" x14ac:dyDescent="0.25">
      <c r="A32" s="422" t="s">
        <v>623</v>
      </c>
      <c r="B32" s="727" t="s">
        <v>638</v>
      </c>
      <c r="C32" s="422">
        <f t="shared" ref="C32:C39" si="5">M32/2.204</f>
        <v>205.52618058076226</v>
      </c>
      <c r="D32" s="727">
        <f t="shared" ref="D32:D39" si="6">N32</f>
        <v>12</v>
      </c>
      <c r="E32" s="422">
        <f t="shared" ref="E32:E39" si="7">C32*D32</f>
        <v>2466.3141669691472</v>
      </c>
      <c r="F32" s="727">
        <f t="shared" ref="F32:F39" si="8">Q32*2.204</f>
        <v>42.294760000000004</v>
      </c>
      <c r="G32" s="422">
        <f t="shared" ref="G32:G39" si="9">F32*E32</f>
        <v>104312.16577656002</v>
      </c>
      <c r="H32" s="727">
        <v>18</v>
      </c>
      <c r="I32" s="422">
        <v>2.7</v>
      </c>
      <c r="J32" s="727">
        <v>32.9</v>
      </c>
      <c r="K32" s="422">
        <v>1598.94</v>
      </c>
      <c r="L32" s="727">
        <v>0.2833</v>
      </c>
      <c r="M32" s="422">
        <v>452.97970200000003</v>
      </c>
      <c r="N32" s="727">
        <v>12</v>
      </c>
      <c r="O32" s="422">
        <v>5435.7564240000002</v>
      </c>
      <c r="P32" s="727" t="s">
        <v>624</v>
      </c>
      <c r="Q32" s="422">
        <v>19.190000000000001</v>
      </c>
      <c r="R32" s="727">
        <v>104312.16577656001</v>
      </c>
      <c r="S32" s="422" t="s">
        <v>625</v>
      </c>
      <c r="T32" s="727"/>
      <c r="V32" s="727"/>
    </row>
    <row r="33" spans="1:23" x14ac:dyDescent="0.25">
      <c r="A33" s="422" t="s">
        <v>626</v>
      </c>
      <c r="B33" s="727" t="s">
        <v>638</v>
      </c>
      <c r="C33" s="422">
        <f t="shared" si="5"/>
        <v>91.344969147005429</v>
      </c>
      <c r="D33" s="727">
        <f t="shared" si="6"/>
        <v>8</v>
      </c>
      <c r="E33" s="422">
        <f t="shared" si="7"/>
        <v>730.75975317604343</v>
      </c>
      <c r="F33" s="727">
        <f t="shared" si="8"/>
        <v>42.294760000000004</v>
      </c>
      <c r="G33" s="422">
        <f t="shared" si="9"/>
        <v>30907.308378239999</v>
      </c>
      <c r="H33" s="727">
        <v>12</v>
      </c>
      <c r="I33" s="422">
        <v>1.8</v>
      </c>
      <c r="J33" s="727">
        <v>32.9</v>
      </c>
      <c r="K33" s="422">
        <v>710.64</v>
      </c>
      <c r="L33" s="727">
        <v>0.2833</v>
      </c>
      <c r="M33" s="422">
        <v>201.32431199999999</v>
      </c>
      <c r="N33" s="727">
        <v>8</v>
      </c>
      <c r="O33" s="422">
        <v>1610.5944959999999</v>
      </c>
      <c r="P33" s="727" t="s">
        <v>627</v>
      </c>
      <c r="Q33" s="422">
        <v>19.190000000000001</v>
      </c>
      <c r="R33" s="727">
        <v>30907.308378240003</v>
      </c>
      <c r="S33" s="422" t="s">
        <v>625</v>
      </c>
      <c r="T33" s="727"/>
      <c r="V33" s="727"/>
    </row>
    <row r="34" spans="1:23" x14ac:dyDescent="0.25">
      <c r="A34" s="732" t="s">
        <v>628</v>
      </c>
      <c r="B34" s="727" t="s">
        <v>638</v>
      </c>
      <c r="C34" s="422">
        <f t="shared" si="5"/>
        <v>45.372050816696913</v>
      </c>
      <c r="D34" s="727">
        <f t="shared" si="6"/>
        <v>2</v>
      </c>
      <c r="E34" s="422">
        <f t="shared" si="7"/>
        <v>90.744101633393825</v>
      </c>
      <c r="F34" s="727">
        <f t="shared" si="8"/>
        <v>30.856000000000002</v>
      </c>
      <c r="G34" s="422">
        <f t="shared" si="9"/>
        <v>2800</v>
      </c>
      <c r="H34" s="727"/>
      <c r="I34" s="732">
        <v>1</v>
      </c>
      <c r="J34" s="727"/>
      <c r="K34" s="732">
        <v>0</v>
      </c>
      <c r="L34" s="727">
        <v>0.2833</v>
      </c>
      <c r="M34" s="732">
        <v>100</v>
      </c>
      <c r="N34" s="727">
        <v>2</v>
      </c>
      <c r="O34" s="732">
        <v>200</v>
      </c>
      <c r="P34" s="727" t="s">
        <v>629</v>
      </c>
      <c r="Q34" s="732">
        <v>14</v>
      </c>
      <c r="R34" s="727">
        <v>2800</v>
      </c>
      <c r="S34" s="732" t="s">
        <v>558</v>
      </c>
      <c r="T34" s="727"/>
      <c r="U34" s="732"/>
      <c r="V34" s="727"/>
      <c r="W34" s="732"/>
    </row>
    <row r="35" spans="1:23" x14ac:dyDescent="0.25">
      <c r="A35" s="732" t="s">
        <v>630</v>
      </c>
      <c r="B35" s="727" t="s">
        <v>638</v>
      </c>
      <c r="C35" s="732">
        <f t="shared" si="5"/>
        <v>49.183303085299457</v>
      </c>
      <c r="D35" s="727">
        <f t="shared" si="6"/>
        <v>12</v>
      </c>
      <c r="E35" s="732">
        <f t="shared" si="7"/>
        <v>590.19963702359348</v>
      </c>
      <c r="F35" s="727">
        <f t="shared" si="8"/>
        <v>30.856000000000002</v>
      </c>
      <c r="G35" s="732">
        <f t="shared" si="9"/>
        <v>18211.2</v>
      </c>
      <c r="H35" s="727"/>
      <c r="I35" s="732">
        <v>0</v>
      </c>
      <c r="J35" s="727"/>
      <c r="K35" s="732">
        <v>0</v>
      </c>
      <c r="L35" s="727">
        <v>0.2833</v>
      </c>
      <c r="M35" s="732">
        <v>108.4</v>
      </c>
      <c r="N35" s="727">
        <v>12</v>
      </c>
      <c r="O35" s="732">
        <v>1300.8000000000002</v>
      </c>
      <c r="P35" s="727" t="s">
        <v>629</v>
      </c>
      <c r="Q35" s="732">
        <v>14</v>
      </c>
      <c r="R35" s="727">
        <v>18211.200000000004</v>
      </c>
      <c r="S35" s="732" t="s">
        <v>558</v>
      </c>
      <c r="T35" s="727"/>
      <c r="U35" s="732"/>
      <c r="V35" s="727"/>
      <c r="W35" s="732"/>
    </row>
    <row r="36" spans="1:23" x14ac:dyDescent="0.25">
      <c r="A36" s="732" t="s">
        <v>631</v>
      </c>
      <c r="B36" s="727" t="s">
        <v>638</v>
      </c>
      <c r="C36" s="732">
        <f t="shared" si="5"/>
        <v>1338.4754990925589</v>
      </c>
      <c r="D36" s="727">
        <f t="shared" si="6"/>
        <v>3</v>
      </c>
      <c r="E36" s="732">
        <f t="shared" si="7"/>
        <v>4015.4264972776768</v>
      </c>
      <c r="F36" s="727">
        <f t="shared" si="8"/>
        <v>17.632000000000001</v>
      </c>
      <c r="G36" s="732">
        <f t="shared" si="9"/>
        <v>70800</v>
      </c>
      <c r="H36" s="727"/>
      <c r="I36" s="732">
        <v>0.75</v>
      </c>
      <c r="J36" s="727"/>
      <c r="K36" s="732">
        <v>0</v>
      </c>
      <c r="L36" s="727">
        <v>0.2833</v>
      </c>
      <c r="M36" s="732">
        <v>2950</v>
      </c>
      <c r="N36" s="727">
        <v>3</v>
      </c>
      <c r="O36" s="732">
        <v>8850</v>
      </c>
      <c r="P36" s="727" t="s">
        <v>632</v>
      </c>
      <c r="Q36" s="732">
        <v>8</v>
      </c>
      <c r="R36" s="727">
        <v>70800</v>
      </c>
      <c r="S36" s="732" t="s">
        <v>558</v>
      </c>
      <c r="T36" s="727"/>
      <c r="U36" s="732"/>
      <c r="V36" s="727"/>
      <c r="W36" s="732"/>
    </row>
    <row r="37" spans="1:23" x14ac:dyDescent="0.25">
      <c r="A37" s="727" t="s">
        <v>633</v>
      </c>
      <c r="B37" s="727" t="s">
        <v>638</v>
      </c>
      <c r="C37" s="732">
        <f t="shared" si="5"/>
        <v>19.28085299455535</v>
      </c>
      <c r="D37" s="727">
        <f t="shared" si="6"/>
        <v>2</v>
      </c>
      <c r="E37" s="732">
        <f t="shared" si="7"/>
        <v>38.561705989110699</v>
      </c>
      <c r="F37" s="727">
        <f t="shared" si="8"/>
        <v>17.632000000000001</v>
      </c>
      <c r="G37" s="732">
        <f t="shared" si="9"/>
        <v>679.91999999999985</v>
      </c>
      <c r="H37" s="727">
        <v>30</v>
      </c>
      <c r="I37" s="727">
        <v>0.125</v>
      </c>
      <c r="J37" s="727">
        <v>40</v>
      </c>
      <c r="K37" s="727">
        <v>150</v>
      </c>
      <c r="L37" s="727">
        <v>0.2833</v>
      </c>
      <c r="M37" s="727">
        <v>42.494999999999997</v>
      </c>
      <c r="N37" s="727">
        <v>2</v>
      </c>
      <c r="O37" s="727">
        <v>84.99</v>
      </c>
      <c r="P37" s="727" t="s">
        <v>629</v>
      </c>
      <c r="Q37" s="727">
        <v>8</v>
      </c>
      <c r="R37" s="727">
        <v>679.92</v>
      </c>
      <c r="S37" s="727" t="s">
        <v>558</v>
      </c>
      <c r="T37" s="727"/>
      <c r="U37" s="727"/>
      <c r="V37" s="727"/>
      <c r="W37" s="727"/>
    </row>
    <row r="38" spans="1:23" x14ac:dyDescent="0.25">
      <c r="A38" s="422" t="s">
        <v>634</v>
      </c>
      <c r="B38" s="727" t="s">
        <v>638</v>
      </c>
      <c r="C38" s="727">
        <f t="shared" si="5"/>
        <v>69.411070780399271</v>
      </c>
      <c r="D38" s="727">
        <f t="shared" si="6"/>
        <v>2</v>
      </c>
      <c r="E38" s="727">
        <f t="shared" si="7"/>
        <v>138.82214156079854</v>
      </c>
      <c r="F38" s="727">
        <f t="shared" si="8"/>
        <v>17.632000000000001</v>
      </c>
      <c r="G38" s="727">
        <f t="shared" si="9"/>
        <v>2447.712</v>
      </c>
      <c r="H38" s="727">
        <v>40</v>
      </c>
      <c r="I38" s="422">
        <v>0.125</v>
      </c>
      <c r="J38" s="727">
        <v>108</v>
      </c>
      <c r="K38" s="422">
        <v>540</v>
      </c>
      <c r="L38" s="727">
        <v>0.2833</v>
      </c>
      <c r="M38" s="422">
        <v>152.982</v>
      </c>
      <c r="N38" s="727">
        <v>2</v>
      </c>
      <c r="O38" s="422">
        <v>305.964</v>
      </c>
      <c r="P38" s="727" t="s">
        <v>629</v>
      </c>
      <c r="Q38" s="422">
        <v>8</v>
      </c>
      <c r="R38" s="727">
        <v>2447.712</v>
      </c>
      <c r="S38" s="422" t="s">
        <v>558</v>
      </c>
      <c r="T38" s="727"/>
      <c r="V38" s="727"/>
    </row>
    <row r="39" spans="1:23" x14ac:dyDescent="0.25">
      <c r="A39" s="422" t="s">
        <v>635</v>
      </c>
      <c r="B39" s="727" t="s">
        <v>638</v>
      </c>
      <c r="C39" s="422">
        <f t="shared" si="5"/>
        <v>52.05830308529945</v>
      </c>
      <c r="D39" s="727">
        <f t="shared" si="6"/>
        <v>2</v>
      </c>
      <c r="E39" s="422">
        <f t="shared" si="7"/>
        <v>104.1166061705989</v>
      </c>
      <c r="F39" s="727">
        <f t="shared" si="8"/>
        <v>17.632000000000001</v>
      </c>
      <c r="G39" s="422">
        <f t="shared" si="9"/>
        <v>1835.7839999999999</v>
      </c>
      <c r="H39" s="727">
        <v>30</v>
      </c>
      <c r="I39" s="422">
        <v>0.125</v>
      </c>
      <c r="J39" s="727">
        <v>108</v>
      </c>
      <c r="K39" s="422">
        <v>405</v>
      </c>
      <c r="L39" s="727">
        <v>0.2833</v>
      </c>
      <c r="M39" s="422">
        <v>114.73649999999999</v>
      </c>
      <c r="N39" s="727">
        <v>2</v>
      </c>
      <c r="O39" s="422">
        <v>229.47299999999998</v>
      </c>
      <c r="P39" s="727" t="s">
        <v>629</v>
      </c>
      <c r="Q39" s="422">
        <v>8</v>
      </c>
      <c r="R39" s="727">
        <v>1835.7839999999999</v>
      </c>
      <c r="S39" s="422" t="s">
        <v>558</v>
      </c>
      <c r="T39" s="727"/>
      <c r="V39" s="727"/>
    </row>
    <row r="40" spans="1:23" s="731" customFormat="1" x14ac:dyDescent="0.25">
      <c r="B40" s="740"/>
      <c r="H40" s="740"/>
      <c r="J40" s="740"/>
      <c r="L40" s="740"/>
      <c r="N40" s="740"/>
      <c r="P40" s="740"/>
      <c r="R40" s="740"/>
      <c r="T40" s="740"/>
      <c r="V40" s="740"/>
    </row>
    <row r="41" spans="1:23" s="731" customFormat="1" x14ac:dyDescent="0.25">
      <c r="B41" s="740"/>
      <c r="D41" s="740">
        <f>SUM(D32:D39)</f>
        <v>43</v>
      </c>
      <c r="E41" s="731">
        <f>SUM(E32:E39)</f>
        <v>8174.9446098003637</v>
      </c>
      <c r="F41" s="740">
        <f>SUM(F32:F39)</f>
        <v>216.82952000000003</v>
      </c>
      <c r="G41" s="731">
        <f>SUM(G32:G39)</f>
        <v>231994.09015480007</v>
      </c>
      <c r="H41" s="740"/>
      <c r="J41" s="740"/>
      <c r="L41" s="740"/>
      <c r="N41" s="740" t="s">
        <v>636</v>
      </c>
      <c r="O41" s="731">
        <v>18017.57792</v>
      </c>
      <c r="P41" s="740" t="s">
        <v>637</v>
      </c>
      <c r="R41" s="740">
        <v>231994.09015480004</v>
      </c>
      <c r="T41" s="740"/>
      <c r="V41" s="740"/>
    </row>
    <row r="42" spans="1:23" x14ac:dyDescent="0.25">
      <c r="A42" s="732"/>
      <c r="B42" s="727"/>
      <c r="C42" s="732"/>
      <c r="D42" s="727"/>
      <c r="E42" s="732"/>
      <c r="F42" s="727"/>
      <c r="G42" s="732"/>
      <c r="H42" s="727"/>
      <c r="I42" s="732"/>
      <c r="J42" s="727"/>
      <c r="K42" s="732"/>
      <c r="L42" s="727"/>
      <c r="M42" s="732"/>
      <c r="N42" s="727"/>
      <c r="O42" s="732"/>
      <c r="P42" s="727"/>
      <c r="Q42" s="732"/>
      <c r="R42" s="727"/>
      <c r="S42" s="732"/>
      <c r="T42" s="727"/>
      <c r="U42" s="732"/>
      <c r="V42" s="727"/>
      <c r="W42" s="732"/>
    </row>
    <row r="43" spans="1:23" x14ac:dyDescent="0.25">
      <c r="A43" s="422" t="s">
        <v>647</v>
      </c>
    </row>
    <row r="44" spans="1:23" x14ac:dyDescent="0.25">
      <c r="B44" s="740"/>
      <c r="C44" s="740" t="s">
        <v>578</v>
      </c>
      <c r="D44" s="740" t="s">
        <v>581</v>
      </c>
      <c r="E44" s="740" t="s">
        <v>580</v>
      </c>
      <c r="F44" s="740" t="s">
        <v>582</v>
      </c>
      <c r="G44" s="740" t="s">
        <v>579</v>
      </c>
      <c r="H44" s="422" t="s">
        <v>648</v>
      </c>
      <c r="I44" s="422" t="s">
        <v>649</v>
      </c>
      <c r="J44" s="422" t="s">
        <v>650</v>
      </c>
      <c r="K44" s="422" t="s">
        <v>545</v>
      </c>
      <c r="L44" s="422" t="s">
        <v>651</v>
      </c>
      <c r="M44" s="422" t="s">
        <v>652</v>
      </c>
      <c r="N44" s="422" t="s">
        <v>653</v>
      </c>
    </row>
    <row r="45" spans="1:23" x14ac:dyDescent="0.25">
      <c r="A45" s="731" t="s">
        <v>610</v>
      </c>
      <c r="B45" s="740" t="s">
        <v>583</v>
      </c>
      <c r="C45" s="731" t="s">
        <v>586</v>
      </c>
      <c r="D45" s="740" t="s">
        <v>502</v>
      </c>
      <c r="E45" s="731" t="s">
        <v>586</v>
      </c>
      <c r="F45" s="740" t="s">
        <v>587</v>
      </c>
      <c r="G45" s="731" t="s">
        <v>516</v>
      </c>
      <c r="H45" s="722"/>
      <c r="I45" s="722"/>
    </row>
    <row r="46" spans="1:23" x14ac:dyDescent="0.25">
      <c r="A46" s="422" t="s">
        <v>654</v>
      </c>
      <c r="B46" s="422" t="s">
        <v>674</v>
      </c>
      <c r="C46" s="422">
        <f>H46/2.204</f>
        <v>17.695099818511796</v>
      </c>
      <c r="D46" s="422">
        <f>I46</f>
        <v>144</v>
      </c>
      <c r="E46" s="422">
        <f>C46*D46</f>
        <v>2548.0943738656988</v>
      </c>
      <c r="F46" s="737">
        <f>L46*2.204</f>
        <v>2.2040000000000002</v>
      </c>
      <c r="G46" s="422">
        <f>E46*F46</f>
        <v>5616.0000000000009</v>
      </c>
      <c r="H46" s="722">
        <v>39</v>
      </c>
      <c r="I46" s="722">
        <v>144</v>
      </c>
      <c r="J46" s="722">
        <v>5616</v>
      </c>
      <c r="K46" s="422" t="s">
        <v>655</v>
      </c>
      <c r="L46" s="726">
        <v>1</v>
      </c>
      <c r="M46" s="737">
        <v>5616</v>
      </c>
      <c r="N46" s="422" t="s">
        <v>656</v>
      </c>
    </row>
    <row r="47" spans="1:23" x14ac:dyDescent="0.25">
      <c r="B47" s="740"/>
      <c r="C47" s="740" t="s">
        <v>578</v>
      </c>
      <c r="D47" s="740" t="s">
        <v>581</v>
      </c>
      <c r="E47" s="740" t="s">
        <v>580</v>
      </c>
      <c r="F47" s="740" t="s">
        <v>678</v>
      </c>
      <c r="G47" s="740" t="s">
        <v>579</v>
      </c>
      <c r="H47" s="722"/>
      <c r="I47" s="722"/>
      <c r="J47" s="722"/>
      <c r="L47" s="726"/>
      <c r="M47" s="737"/>
    </row>
    <row r="48" spans="1:23" x14ac:dyDescent="0.25">
      <c r="A48" s="731" t="s">
        <v>610</v>
      </c>
      <c r="B48" s="740" t="s">
        <v>583</v>
      </c>
      <c r="C48" s="731" t="s">
        <v>586</v>
      </c>
      <c r="D48" s="740" t="s">
        <v>502</v>
      </c>
      <c r="E48" s="731" t="s">
        <v>586</v>
      </c>
      <c r="F48" s="740" t="s">
        <v>587</v>
      </c>
      <c r="G48" s="731" t="s">
        <v>516</v>
      </c>
      <c r="H48" s="722"/>
      <c r="I48" s="722"/>
      <c r="J48" s="722"/>
      <c r="L48" s="726"/>
      <c r="M48" s="737"/>
    </row>
    <row r="49" spans="1:14" x14ac:dyDescent="0.25">
      <c r="A49" s="422" t="s">
        <v>677</v>
      </c>
      <c r="B49" s="422" t="s">
        <v>676</v>
      </c>
      <c r="C49" s="422">
        <f>H49/2.204</f>
        <v>45.036297640653359</v>
      </c>
      <c r="D49" s="422">
        <f>I49</f>
        <v>2</v>
      </c>
      <c r="E49" s="422">
        <f>C49*D49</f>
        <v>90.072595281306718</v>
      </c>
      <c r="F49" s="737">
        <f>L49</f>
        <v>9617.76</v>
      </c>
      <c r="G49" s="737">
        <f>D49*F49</f>
        <v>19235.52</v>
      </c>
      <c r="H49" s="722">
        <v>99.26</v>
      </c>
      <c r="I49" s="722">
        <v>2</v>
      </c>
      <c r="J49" s="722">
        <v>198.52</v>
      </c>
      <c r="K49" s="422" t="s">
        <v>657</v>
      </c>
      <c r="L49" s="726">
        <v>9617.76</v>
      </c>
      <c r="M49" s="737">
        <v>19235.52</v>
      </c>
      <c r="N49" s="731" t="s">
        <v>658</v>
      </c>
    </row>
    <row r="50" spans="1:14" x14ac:dyDescent="0.25">
      <c r="A50" s="422" t="s">
        <v>659</v>
      </c>
      <c r="B50" s="422" t="s">
        <v>676</v>
      </c>
      <c r="C50" s="422">
        <f>H50/2.204</f>
        <v>1.9963702359346642</v>
      </c>
      <c r="D50" s="422">
        <f>I50</f>
        <v>4</v>
      </c>
      <c r="E50" s="422">
        <f>C50*D50</f>
        <v>7.9854809437386569</v>
      </c>
      <c r="F50" s="737">
        <f>L50</f>
        <v>3204.8</v>
      </c>
      <c r="G50" s="737">
        <f>D50*F50</f>
        <v>12819.2</v>
      </c>
      <c r="H50" s="722">
        <v>4.4000000000000004</v>
      </c>
      <c r="I50" s="722">
        <v>4</v>
      </c>
      <c r="J50" s="722">
        <v>17.600000000000001</v>
      </c>
      <c r="K50" s="422" t="s">
        <v>660</v>
      </c>
      <c r="L50" s="747">
        <v>3204.8</v>
      </c>
      <c r="M50" s="737">
        <v>12819.2</v>
      </c>
      <c r="N50" s="731" t="s">
        <v>658</v>
      </c>
    </row>
    <row r="51" spans="1:14" x14ac:dyDescent="0.25">
      <c r="F51" s="737"/>
      <c r="G51" s="737"/>
      <c r="H51" s="722"/>
      <c r="I51" s="722"/>
      <c r="J51" s="722"/>
      <c r="L51" s="747"/>
      <c r="M51" s="737"/>
      <c r="N51" s="731"/>
    </row>
    <row r="52" spans="1:14" ht="14.45" x14ac:dyDescent="0.3">
      <c r="B52" s="740"/>
      <c r="C52" s="740" t="s">
        <v>578</v>
      </c>
      <c r="D52" s="740" t="s">
        <v>581</v>
      </c>
      <c r="E52" s="740" t="s">
        <v>580</v>
      </c>
      <c r="F52" s="740" t="s">
        <v>678</v>
      </c>
      <c r="G52" s="740" t="s">
        <v>579</v>
      </c>
      <c r="H52" s="722"/>
      <c r="I52" s="722"/>
      <c r="J52" s="722"/>
      <c r="L52" s="747"/>
      <c r="M52" s="737"/>
      <c r="N52" s="731"/>
    </row>
    <row r="53" spans="1:14" ht="14.45" x14ac:dyDescent="0.3">
      <c r="A53" s="731" t="s">
        <v>610</v>
      </c>
      <c r="B53" s="740" t="s">
        <v>583</v>
      </c>
      <c r="C53" s="731" t="s">
        <v>586</v>
      </c>
      <c r="D53" s="740" t="s">
        <v>502</v>
      </c>
      <c r="E53" s="731" t="s">
        <v>586</v>
      </c>
      <c r="F53" s="740" t="s">
        <v>587</v>
      </c>
      <c r="G53" s="731" t="s">
        <v>516</v>
      </c>
    </row>
    <row r="54" spans="1:14" ht="14.45" x14ac:dyDescent="0.3">
      <c r="A54" s="422" t="s">
        <v>661</v>
      </c>
      <c r="B54" s="422" t="s">
        <v>679</v>
      </c>
      <c r="C54" s="422">
        <f>H54/2.204</f>
        <v>77.132486388384748</v>
      </c>
      <c r="D54" s="422">
        <f>I54</f>
        <v>1</v>
      </c>
      <c r="E54" s="422">
        <f>C54*D54</f>
        <v>77.132486388384748</v>
      </c>
      <c r="F54" s="748">
        <f>M54</f>
        <v>1400</v>
      </c>
      <c r="G54" s="737">
        <f>D54*F54</f>
        <v>1400</v>
      </c>
      <c r="H54" s="722">
        <v>170</v>
      </c>
      <c r="I54" s="722">
        <v>1</v>
      </c>
      <c r="J54" s="722">
        <v>170</v>
      </c>
      <c r="K54" s="422" t="s">
        <v>662</v>
      </c>
      <c r="L54" s="726"/>
      <c r="M54" s="748">
        <v>1400</v>
      </c>
      <c r="N54" s="422" t="s">
        <v>663</v>
      </c>
    </row>
    <row r="55" spans="1:14" ht="14.45" x14ac:dyDescent="0.3">
      <c r="F55" s="748"/>
      <c r="G55" s="737"/>
      <c r="H55" s="722"/>
      <c r="I55" s="722"/>
      <c r="J55" s="722"/>
      <c r="L55" s="726"/>
      <c r="M55" s="748"/>
    </row>
    <row r="56" spans="1:14" ht="14.45" x14ac:dyDescent="0.3">
      <c r="B56" s="740"/>
      <c r="C56" s="740" t="s">
        <v>578</v>
      </c>
      <c r="D56" s="740" t="s">
        <v>581</v>
      </c>
      <c r="E56" s="740" t="s">
        <v>580</v>
      </c>
      <c r="F56" s="740" t="s">
        <v>678</v>
      </c>
      <c r="G56" s="740" t="s">
        <v>579</v>
      </c>
      <c r="H56" s="722"/>
      <c r="I56" s="722"/>
      <c r="J56" s="722"/>
      <c r="L56" s="726"/>
      <c r="M56" s="748"/>
    </row>
    <row r="57" spans="1:14" ht="14.45" x14ac:dyDescent="0.3">
      <c r="A57" s="731" t="s">
        <v>610</v>
      </c>
      <c r="B57" s="740" t="s">
        <v>583</v>
      </c>
      <c r="C57" s="731" t="s">
        <v>586</v>
      </c>
      <c r="D57" s="740" t="s">
        <v>502</v>
      </c>
      <c r="E57" s="731" t="s">
        <v>586</v>
      </c>
      <c r="F57" s="740" t="s">
        <v>587</v>
      </c>
      <c r="G57" s="731" t="s">
        <v>516</v>
      </c>
      <c r="H57" s="722"/>
      <c r="I57" s="722"/>
      <c r="J57" s="722"/>
      <c r="L57" s="726"/>
      <c r="M57" s="748"/>
    </row>
    <row r="58" spans="1:14" ht="14.45" x14ac:dyDescent="0.3">
      <c r="A58" s="422" t="s">
        <v>664</v>
      </c>
      <c r="B58" s="422" t="s">
        <v>33</v>
      </c>
      <c r="C58" s="422">
        <f>H58/2.204</f>
        <v>1127.4954627949182</v>
      </c>
      <c r="D58" s="422">
        <f>I58</f>
        <v>1</v>
      </c>
      <c r="E58" s="422">
        <f>C58*D58</f>
        <v>1127.4954627949182</v>
      </c>
      <c r="F58" s="737">
        <f>L58</f>
        <v>35000</v>
      </c>
      <c r="G58" s="737">
        <f>D58*F58</f>
        <v>35000</v>
      </c>
      <c r="H58" s="722">
        <v>2485</v>
      </c>
      <c r="I58" s="722">
        <v>1</v>
      </c>
      <c r="J58" s="722">
        <v>2485</v>
      </c>
      <c r="K58" s="422" t="s">
        <v>665</v>
      </c>
      <c r="L58" s="726">
        <v>35000</v>
      </c>
      <c r="M58" s="748">
        <v>35000</v>
      </c>
      <c r="N58" s="422" t="s">
        <v>675</v>
      </c>
    </row>
    <row r="59" spans="1:14" ht="14.45" x14ac:dyDescent="0.3">
      <c r="F59" s="737"/>
      <c r="G59" s="737"/>
      <c r="H59" s="722"/>
      <c r="I59" s="722"/>
      <c r="J59" s="722"/>
      <c r="L59" s="726"/>
      <c r="M59" s="748"/>
    </row>
    <row r="60" spans="1:14" ht="14.45" x14ac:dyDescent="0.3">
      <c r="B60" s="740"/>
      <c r="C60" s="740" t="s">
        <v>578</v>
      </c>
      <c r="D60" s="740" t="s">
        <v>581</v>
      </c>
      <c r="E60" s="740" t="s">
        <v>580</v>
      </c>
      <c r="F60" s="740" t="s">
        <v>582</v>
      </c>
      <c r="G60" s="740" t="s">
        <v>579</v>
      </c>
      <c r="H60" s="722"/>
      <c r="I60" s="722"/>
      <c r="J60" s="722"/>
      <c r="L60" s="726"/>
      <c r="M60" s="748"/>
    </row>
    <row r="61" spans="1:14" ht="14.45" x14ac:dyDescent="0.3">
      <c r="A61" s="731" t="s">
        <v>610</v>
      </c>
      <c r="B61" s="740" t="s">
        <v>583</v>
      </c>
      <c r="C61" s="731" t="s">
        <v>586</v>
      </c>
      <c r="D61" s="740" t="s">
        <v>502</v>
      </c>
      <c r="E61" s="731" t="s">
        <v>586</v>
      </c>
      <c r="F61" s="740" t="s">
        <v>587</v>
      </c>
      <c r="G61" s="731" t="s">
        <v>516</v>
      </c>
      <c r="H61" s="722"/>
      <c r="I61" s="722"/>
      <c r="J61" s="722"/>
      <c r="L61" s="726"/>
      <c r="M61" s="748"/>
    </row>
    <row r="62" spans="1:14" ht="14.45" x14ac:dyDescent="0.3">
      <c r="A62" s="422" t="s">
        <v>666</v>
      </c>
      <c r="B62" s="422" t="s">
        <v>680</v>
      </c>
      <c r="C62" s="422">
        <f>H62/2.204</f>
        <v>260.16333938294008</v>
      </c>
      <c r="D62" s="422">
        <f>I62</f>
        <v>5</v>
      </c>
      <c r="E62" s="422">
        <f>C62*D62</f>
        <v>1300.8166969147005</v>
      </c>
      <c r="F62" s="737">
        <f>L62*2.204</f>
        <v>42.294760000000004</v>
      </c>
      <c r="G62" s="422">
        <f>E62*F62</f>
        <v>55017.73</v>
      </c>
      <c r="H62" s="722">
        <v>573.4</v>
      </c>
      <c r="I62" s="722">
        <v>5</v>
      </c>
      <c r="J62" s="722">
        <v>2867</v>
      </c>
      <c r="K62" s="422" t="s">
        <v>667</v>
      </c>
      <c r="L62" s="726">
        <v>19.190000000000001</v>
      </c>
      <c r="M62" s="734">
        <v>55017.73</v>
      </c>
      <c r="N62" s="731" t="s">
        <v>668</v>
      </c>
    </row>
    <row r="63" spans="1:14" ht="14.45" x14ac:dyDescent="0.3">
      <c r="F63" s="737"/>
      <c r="H63" s="722"/>
      <c r="I63" s="722"/>
      <c r="J63" s="722"/>
      <c r="L63" s="726"/>
      <c r="M63" s="734"/>
      <c r="N63" s="731"/>
    </row>
    <row r="64" spans="1:14" ht="14.45" x14ac:dyDescent="0.3">
      <c r="B64" s="740"/>
      <c r="C64" s="740" t="s">
        <v>578</v>
      </c>
      <c r="D64" s="740" t="s">
        <v>581</v>
      </c>
      <c r="E64" s="740" t="s">
        <v>580</v>
      </c>
      <c r="F64" s="740" t="s">
        <v>678</v>
      </c>
      <c r="G64" s="740" t="s">
        <v>579</v>
      </c>
      <c r="H64" s="722"/>
      <c r="I64" s="722"/>
      <c r="J64" s="722"/>
      <c r="L64" s="726"/>
      <c r="M64" s="734"/>
      <c r="N64" s="731"/>
    </row>
    <row r="65" spans="1:14" ht="14.45" x14ac:dyDescent="0.3">
      <c r="A65" s="731" t="s">
        <v>610</v>
      </c>
      <c r="B65" s="740" t="s">
        <v>583</v>
      </c>
      <c r="C65" s="731" t="s">
        <v>586</v>
      </c>
      <c r="D65" s="740" t="s">
        <v>502</v>
      </c>
      <c r="E65" s="731" t="s">
        <v>586</v>
      </c>
      <c r="F65" s="740" t="s">
        <v>587</v>
      </c>
      <c r="G65" s="731" t="s">
        <v>516</v>
      </c>
      <c r="H65" s="722"/>
      <c r="I65" s="722"/>
      <c r="J65" s="722"/>
      <c r="L65" s="726"/>
      <c r="M65" s="734"/>
      <c r="N65" s="731"/>
    </row>
    <row r="66" spans="1:14" ht="14.45" x14ac:dyDescent="0.3">
      <c r="A66" s="422" t="s">
        <v>681</v>
      </c>
      <c r="B66" s="422" t="s">
        <v>681</v>
      </c>
      <c r="C66" s="422">
        <f>H66/2.204</f>
        <v>952.81306715063511</v>
      </c>
      <c r="D66" s="422">
        <f>I66</f>
        <v>1</v>
      </c>
      <c r="E66" s="422">
        <f>C66*D66</f>
        <v>952.81306715063511</v>
      </c>
      <c r="F66" s="737">
        <f>L66</f>
        <v>40000</v>
      </c>
      <c r="G66" s="737">
        <f>D66*F66</f>
        <v>40000</v>
      </c>
      <c r="H66" s="722">
        <v>2100</v>
      </c>
      <c r="I66" s="722">
        <v>1</v>
      </c>
      <c r="J66" s="722">
        <v>2100</v>
      </c>
      <c r="K66" s="422" t="s">
        <v>669</v>
      </c>
      <c r="L66" s="726">
        <v>40000</v>
      </c>
      <c r="M66" s="748">
        <v>40000</v>
      </c>
      <c r="N66" s="422" t="s">
        <v>675</v>
      </c>
    </row>
    <row r="67" spans="1:14" ht="14.45" x14ac:dyDescent="0.3">
      <c r="F67" s="737"/>
      <c r="G67" s="737"/>
      <c r="H67" s="722"/>
      <c r="I67" s="722"/>
      <c r="J67" s="722"/>
      <c r="L67" s="726"/>
      <c r="M67" s="748"/>
    </row>
    <row r="68" spans="1:14" ht="14.45" x14ac:dyDescent="0.3">
      <c r="B68" s="740"/>
      <c r="C68" s="740" t="s">
        <v>578</v>
      </c>
      <c r="D68" s="740" t="s">
        <v>581</v>
      </c>
      <c r="E68" s="740" t="s">
        <v>580</v>
      </c>
      <c r="F68" s="740" t="s">
        <v>678</v>
      </c>
      <c r="G68" s="740" t="s">
        <v>579</v>
      </c>
      <c r="H68" s="722"/>
      <c r="I68" s="722"/>
      <c r="J68" s="722"/>
      <c r="L68" s="726"/>
      <c r="M68" s="748"/>
    </row>
    <row r="69" spans="1:14" ht="14.45" x14ac:dyDescent="0.3">
      <c r="A69" s="731" t="s">
        <v>610</v>
      </c>
      <c r="B69" s="740" t="s">
        <v>583</v>
      </c>
      <c r="C69" s="731" t="s">
        <v>586</v>
      </c>
      <c r="D69" s="740" t="s">
        <v>502</v>
      </c>
      <c r="E69" s="731" t="s">
        <v>586</v>
      </c>
      <c r="F69" s="740" t="s">
        <v>587</v>
      </c>
      <c r="G69" s="731" t="s">
        <v>516</v>
      </c>
      <c r="H69" s="722"/>
      <c r="I69" s="722"/>
      <c r="J69" s="722"/>
      <c r="L69" s="726"/>
      <c r="M69" s="748"/>
    </row>
    <row r="70" spans="1:14" ht="14.45" x14ac:dyDescent="0.3">
      <c r="A70" s="422" t="s">
        <v>670</v>
      </c>
      <c r="C70" s="422">
        <f>H70/2.204</f>
        <v>0</v>
      </c>
      <c r="D70" s="422">
        <f>I70</f>
        <v>2</v>
      </c>
      <c r="E70" s="422">
        <f>C70*D70</f>
        <v>0</v>
      </c>
      <c r="F70" s="737">
        <f>L70</f>
        <v>6000</v>
      </c>
      <c r="G70" s="737">
        <f>D70*F70</f>
        <v>12000</v>
      </c>
      <c r="H70" s="722"/>
      <c r="I70" s="722">
        <v>2</v>
      </c>
      <c r="J70" s="722"/>
      <c r="K70" s="422" t="s">
        <v>671</v>
      </c>
      <c r="L70" s="726">
        <v>6000</v>
      </c>
      <c r="M70" s="726">
        <v>12000</v>
      </c>
      <c r="N70" s="422" t="s">
        <v>672</v>
      </c>
    </row>
    <row r="71" spans="1:14" x14ac:dyDescent="0.25">
      <c r="H71" s="722"/>
      <c r="I71" s="722"/>
      <c r="J71" s="722"/>
      <c r="K71" s="422" t="s">
        <v>673</v>
      </c>
      <c r="L71" s="726"/>
    </row>
    <row r="72" spans="1:14" x14ac:dyDescent="0.25">
      <c r="H72" s="722"/>
      <c r="I72" s="722"/>
      <c r="J72" s="722"/>
      <c r="L72" s="726"/>
    </row>
    <row r="73" spans="1:14" x14ac:dyDescent="0.25">
      <c r="H73" s="722"/>
      <c r="I73" s="722"/>
      <c r="J73" s="722"/>
      <c r="L73" s="726"/>
    </row>
    <row r="74" spans="1:14" x14ac:dyDescent="0.25">
      <c r="H74" s="722"/>
      <c r="I74" s="722"/>
      <c r="J74" s="722"/>
      <c r="L74" s="7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58"/>
  <sheetViews>
    <sheetView topLeftCell="A265" zoomScale="90" zoomScaleNormal="90" workbookViewId="0">
      <selection activeCell="M281" sqref="M281"/>
    </sheetView>
  </sheetViews>
  <sheetFormatPr defaultRowHeight="15" x14ac:dyDescent="0.25"/>
  <cols>
    <col min="1" max="1" width="4.42578125" style="745" customWidth="1"/>
    <col min="2" max="2" width="38.5703125" customWidth="1"/>
    <col min="3" max="3" width="8.28515625" customWidth="1"/>
    <col min="4" max="4" width="9.28515625" customWidth="1"/>
    <col min="5" max="5" width="10.28515625" customWidth="1"/>
    <col min="6" max="6" width="7.140625" bestFit="1" customWidth="1"/>
    <col min="7" max="7" width="9.28515625" customWidth="1"/>
    <col min="8" max="8" width="10.28515625" customWidth="1"/>
    <col min="12" max="12" width="35.5703125" bestFit="1" customWidth="1"/>
    <col min="13" max="13" width="12" bestFit="1" customWidth="1"/>
    <col min="14" max="14" width="14.7109375" customWidth="1"/>
    <col min="15" max="15" width="12" bestFit="1" customWidth="1"/>
    <col min="16" max="16" width="12.140625" customWidth="1"/>
  </cols>
  <sheetData>
    <row r="2" spans="2:7" x14ac:dyDescent="0.25">
      <c r="B2" s="768" t="s">
        <v>726</v>
      </c>
      <c r="C2" s="893"/>
      <c r="D2" s="893"/>
      <c r="E2" s="893"/>
      <c r="F2" s="769"/>
    </row>
    <row r="3" spans="2:7" x14ac:dyDescent="0.25">
      <c r="B3" s="696"/>
      <c r="C3" s="990">
        <v>1</v>
      </c>
      <c r="D3" s="990">
        <v>10</v>
      </c>
      <c r="E3" s="990">
        <v>50</v>
      </c>
      <c r="F3" s="698">
        <v>100</v>
      </c>
    </row>
    <row r="4" spans="2:7" x14ac:dyDescent="0.25">
      <c r="B4" s="696" t="str">
        <f>'CBS ($ per kW)'!D25</f>
        <v xml:space="preserve">Surge Frame </v>
      </c>
      <c r="C4" s="992">
        <f>'CBS ($ per kW)'!J25</f>
        <v>3572.1819140668372</v>
      </c>
      <c r="D4" s="992">
        <f>'CBS ($ per kW)'!L25</f>
        <v>2511.6473298545579</v>
      </c>
      <c r="E4" s="992">
        <f>'CBS ($ per kW)'!N25</f>
        <v>2224.9170089930053</v>
      </c>
      <c r="F4" s="770">
        <f>'CBS ($ per kW)'!P25</f>
        <v>2161.505495725547</v>
      </c>
    </row>
    <row r="5" spans="2:7" x14ac:dyDescent="0.25">
      <c r="B5" s="696" t="str">
        <f>'CBS ($ per kW)'!D26</f>
        <v>Surge Flap</v>
      </c>
      <c r="C5" s="992">
        <f>'CBS ($ per kW)'!J26</f>
        <v>7022.4824053513939</v>
      </c>
      <c r="D5" s="992">
        <f>'CBS ($ per kW)'!L26</f>
        <v>4937.5982541356734</v>
      </c>
      <c r="E5" s="992">
        <f>'CBS ($ per kW)'!N26</f>
        <v>4373.9207366492728</v>
      </c>
      <c r="F5" s="770">
        <f>'CBS ($ per kW)'!P26</f>
        <v>4249.2612856667038</v>
      </c>
      <c r="G5" s="745"/>
    </row>
    <row r="6" spans="2:7" x14ac:dyDescent="0.25">
      <c r="B6" s="696" t="str">
        <f>'CBS ($ per kW)'!D27</f>
        <v>Fiberglass Tubing</v>
      </c>
      <c r="C6" s="992">
        <f>'CBS ($ per kW)'!J27</f>
        <v>1956.5588009326082</v>
      </c>
      <c r="D6" s="992">
        <f>'CBS ($ per kW)'!L27</f>
        <v>1375.6818119240593</v>
      </c>
      <c r="E6" s="992">
        <f>'CBS ($ per kW)'!N27</f>
        <v>1218.6336138558897</v>
      </c>
      <c r="F6" s="770">
        <f>'CBS ($ per kW)'!P27</f>
        <v>1183.9018008215833</v>
      </c>
      <c r="G6" s="745"/>
    </row>
    <row r="7" spans="2:7" x14ac:dyDescent="0.25">
      <c r="B7" s="696" t="str">
        <f>'CBS ($ per kW)'!D28</f>
        <v>Upright Support Structures - Side (2)</v>
      </c>
      <c r="C7" s="992">
        <f>'CBS ($ per kW)'!J28</f>
        <v>1783.3139119573664</v>
      </c>
      <c r="D7" s="992">
        <f>'CBS ($ per kW)'!L28</f>
        <v>1253.8710885977573</v>
      </c>
      <c r="E7" s="992">
        <f>'CBS ($ per kW)'!N28</f>
        <v>1110.7288347951592</v>
      </c>
      <c r="F7" s="770">
        <f>'CBS ($ per kW)'!P28</f>
        <v>1079.0723748195846</v>
      </c>
      <c r="G7" s="745"/>
    </row>
    <row r="8" spans="2:7" x14ac:dyDescent="0.25">
      <c r="B8" s="696" t="str">
        <f>'CBS ($ per kW)'!D29</f>
        <v>Upright Support Structures - Center</v>
      </c>
      <c r="C8" s="992">
        <f>'CBS ($ per kW)'!J29</f>
        <v>731.05118241367825</v>
      </c>
      <c r="D8" s="992">
        <f>'CBS ($ per kW)'!L29</f>
        <v>514.01154657488621</v>
      </c>
      <c r="E8" s="992">
        <f>'CBS ($ per kW)'!N29</f>
        <v>455.33185300321969</v>
      </c>
      <c r="F8" s="770">
        <f>'CBS ($ per kW)'!P29</f>
        <v>442.35461307871657</v>
      </c>
    </row>
    <row r="9" spans="2:7" x14ac:dyDescent="0.25">
      <c r="B9" s="696" t="str">
        <f>'CBS ($ per kW)'!D30</f>
        <v>Torque Tube</v>
      </c>
      <c r="C9" s="992">
        <f>'CBS ($ per kW)'!J30</f>
        <v>2551.558510047741</v>
      </c>
      <c r="D9" s="992">
        <f>'CBS ($ per kW)'!L30</f>
        <v>1794.0338070389698</v>
      </c>
      <c r="E9" s="992">
        <f>'CBS ($ per kW)'!N30</f>
        <v>1589.226434995004</v>
      </c>
      <c r="F9" s="770">
        <f>'CBS ($ per kW)'!P30</f>
        <v>1543.9324969468191</v>
      </c>
    </row>
    <row r="10" spans="2:7" x14ac:dyDescent="0.25">
      <c r="B10" s="700"/>
      <c r="C10" s="991"/>
      <c r="D10" s="991"/>
      <c r="E10" s="991"/>
      <c r="F10" s="771"/>
    </row>
    <row r="19" spans="2:12" s="985" customFormat="1" x14ac:dyDescent="0.25"/>
    <row r="26" spans="2:12" x14ac:dyDescent="0.25">
      <c r="B26" t="s">
        <v>728</v>
      </c>
    </row>
    <row r="27" spans="2:12" x14ac:dyDescent="0.25">
      <c r="C27">
        <v>1</v>
      </c>
      <c r="D27">
        <v>10</v>
      </c>
      <c r="E27">
        <v>50</v>
      </c>
      <c r="F27">
        <v>100</v>
      </c>
    </row>
    <row r="28" spans="2:12" x14ac:dyDescent="0.25">
      <c r="B28" t="str">
        <f>'CBS ($ per kW)'!D32</f>
        <v>Generator</v>
      </c>
      <c r="C28" s="434">
        <f>'CBS ($ per kW)'!J32</f>
        <v>91.59542577994894</v>
      </c>
      <c r="D28" s="434">
        <f>'CBS ($ per kW)'!L32</f>
        <v>80.813048328630629</v>
      </c>
      <c r="E28" s="434">
        <f>'CBS ($ per kW)'!N32</f>
        <v>74.039402451872576</v>
      </c>
      <c r="F28" s="434">
        <f>'CBS ($ per kW)'!P32</f>
        <v>71.299944561153268</v>
      </c>
      <c r="G28">
        <f>F28/SUM(F28:F36)</f>
        <v>6.5891949124612714E-2</v>
      </c>
      <c r="H28" s="745"/>
      <c r="J28" s="745"/>
    </row>
    <row r="29" spans="2:12" x14ac:dyDescent="0.25">
      <c r="B29" s="985" t="str">
        <f>'CBS ($ per kW)'!D33</f>
        <v>Hydraulic Components</v>
      </c>
      <c r="C29" s="434">
        <f>'CBS ($ per kW)'!J33</f>
        <v>725.98461715919677</v>
      </c>
      <c r="D29" s="434">
        <f>'CBS ($ per kW)'!L33</f>
        <v>661.98159543062911</v>
      </c>
      <c r="E29" s="434">
        <f>'CBS ($ per kW)'!N33</f>
        <v>620.62625879704058</v>
      </c>
      <c r="F29" s="434">
        <f>'CBS ($ per kW)'!P33</f>
        <v>603.62109930600161</v>
      </c>
      <c r="H29" s="745"/>
      <c r="J29" s="745"/>
    </row>
    <row r="30" spans="2:12" x14ac:dyDescent="0.25">
      <c r="B30" s="985" t="str">
        <f>'CBS ($ per kW)'!D34</f>
        <v>Couplings</v>
      </c>
      <c r="C30" s="434">
        <f>'CBS ($ per kW)'!J34</f>
        <v>0.91595425779948936</v>
      </c>
      <c r="D30" s="434">
        <f>'CBS ($ per kW)'!L34</f>
        <v>0.77245502794264165</v>
      </c>
      <c r="E30" s="434">
        <f>'CBS ($ per kW)'!N34</f>
        <v>0.6857234754878675</v>
      </c>
      <c r="F30" s="434">
        <f>'CBS ($ per kW)'!P34</f>
        <v>0.65143730171347403</v>
      </c>
      <c r="H30" s="745"/>
      <c r="J30" s="745"/>
      <c r="K30" s="389"/>
      <c r="L30" s="389"/>
    </row>
    <row r="31" spans="2:12" x14ac:dyDescent="0.25">
      <c r="B31" s="985" t="str">
        <f>'CBS ($ per kW)'!D35</f>
        <v>Frequency Converter</v>
      </c>
      <c r="C31" s="434">
        <f>'CBS ($ per kW)'!J35</f>
        <v>203.38903075385812</v>
      </c>
      <c r="D31" s="434">
        <f>'CBS ($ per kW)'!L35</f>
        <v>96.916881598564942</v>
      </c>
      <c r="E31" s="434">
        <f>'CBS ($ per kW)'!N35</f>
        <v>57.727313906603619</v>
      </c>
      <c r="F31" s="434">
        <f>'CBS ($ per kW)'!P35</f>
        <v>46.181851125282883</v>
      </c>
      <c r="H31" s="745"/>
      <c r="J31" s="745"/>
      <c r="K31" s="389"/>
      <c r="L31" s="389"/>
    </row>
    <row r="32" spans="2:12" x14ac:dyDescent="0.25">
      <c r="B32" s="985" t="str">
        <f>'CBS ($ per kW)'!D36</f>
        <v>Step up Transformer</v>
      </c>
      <c r="C32" s="434">
        <f>'CBS ($ per kW)'!J36</f>
        <v>47.185522371488844</v>
      </c>
      <c r="D32" s="434">
        <f>'CBS ($ per kW)'!L36</f>
        <v>41.201694561231456</v>
      </c>
      <c r="E32" s="434">
        <f>'CBS ($ per kW)'!N36</f>
        <v>37.475734730137539</v>
      </c>
      <c r="F32" s="434">
        <f>'CBS ($ per kW)'!P36</f>
        <v>35.976705340932021</v>
      </c>
      <c r="H32" s="745"/>
      <c r="J32" s="745"/>
      <c r="K32" s="389"/>
      <c r="L32" s="389"/>
    </row>
    <row r="33" spans="2:11" x14ac:dyDescent="0.25">
      <c r="B33" s="985" t="str">
        <f>'CBS ($ per kW)'!D37</f>
        <v>Control System</v>
      </c>
      <c r="C33" s="434">
        <f>'CBS ($ per kW)'!J37</f>
        <v>13.878094815143777</v>
      </c>
      <c r="D33" s="434">
        <f>'CBS ($ per kW)'!L37</f>
        <v>12.97727490397801</v>
      </c>
      <c r="E33" s="434">
        <f>'CBS ($ per kW)'!N37</f>
        <v>12.3825783105983</v>
      </c>
      <c r="F33" s="434">
        <f>'CBS ($ per kW)'!P37</f>
        <v>12.134926744386332</v>
      </c>
      <c r="H33" s="745"/>
      <c r="J33" s="745"/>
      <c r="K33" s="389"/>
    </row>
    <row r="34" spans="2:11" x14ac:dyDescent="0.25">
      <c r="B34" s="985" t="str">
        <f>'CBS ($ per kW)'!D38</f>
        <v>Bearings</v>
      </c>
      <c r="C34" s="434">
        <f>'CBS ($ per kW)'!J38</f>
        <v>41.634284445431334</v>
      </c>
      <c r="D34" s="434">
        <f>'CBS ($ per kW)'!L38</f>
        <v>36.354436377557171</v>
      </c>
      <c r="E34" s="434">
        <f>'CBS ($ per kW)'!N38</f>
        <v>33.06682476188606</v>
      </c>
      <c r="F34" s="434">
        <f>'CBS ($ per kW)'!P38</f>
        <v>31.744151771410607</v>
      </c>
      <c r="H34" s="745"/>
      <c r="J34" s="745"/>
      <c r="K34" s="389"/>
    </row>
    <row r="35" spans="2:11" x14ac:dyDescent="0.25">
      <c r="B35" s="985" t="str">
        <f>'CBS ($ per kW)'!D39</f>
        <v>Assembly, Testing, &amp; QA</v>
      </c>
      <c r="C35" s="434">
        <f>'CBS ($ per kW)'!J39</f>
        <v>197.0107166065865</v>
      </c>
      <c r="D35" s="434">
        <f>'CBS ($ per kW)'!L39</f>
        <v>172.02682015487426</v>
      </c>
      <c r="E35" s="434">
        <f>'CBS ($ per kW)'!N39</f>
        <v>156.47005656556806</v>
      </c>
      <c r="F35" s="434">
        <f>'CBS ($ per kW)'!P39</f>
        <v>150.21125430294529</v>
      </c>
      <c r="H35" s="745"/>
      <c r="J35" s="745"/>
      <c r="K35" s="389"/>
    </row>
    <row r="36" spans="2:11" x14ac:dyDescent="0.25">
      <c r="B36" s="985" t="str">
        <f>'CBS ($ per kW)'!D40</f>
        <v>PTO Mount</v>
      </c>
      <c r="C36" s="434">
        <f>'CBS ($ per kW)'!J40</f>
        <v>262.29599200621743</v>
      </c>
      <c r="D36" s="434">
        <f>'CBS ($ per kW)'!L40</f>
        <v>184.83685100176726</v>
      </c>
      <c r="E36" s="434">
        <f>'CBS ($ per kW)'!N40</f>
        <v>144.7248000115994</v>
      </c>
      <c r="F36" s="434">
        <f>'CBS ($ per kW)'!P40</f>
        <v>130.25232001043943</v>
      </c>
      <c r="H36" s="745"/>
      <c r="J36" s="745"/>
      <c r="K36" s="389"/>
    </row>
    <row r="37" spans="2:11" x14ac:dyDescent="0.25">
      <c r="B37" s="985" t="str">
        <f>'CBS ($ per kW)'!D41</f>
        <v>Other</v>
      </c>
      <c r="C37" s="992">
        <f>'CBS ($ per kW)'!J41</f>
        <v>48.573331853003225</v>
      </c>
      <c r="D37" s="992">
        <f>'CBS ($ per kW)'!L41</f>
        <v>23.145672284275921</v>
      </c>
      <c r="E37" s="992">
        <f>'CBS ($ per kW)'!N41</f>
        <v>13.786426755538072</v>
      </c>
      <c r="F37" s="992">
        <f>'CBS ($ per kW)'!P41</f>
        <v>11.029141404430455</v>
      </c>
      <c r="H37" s="389"/>
      <c r="J37" s="389"/>
      <c r="K37" s="389"/>
    </row>
    <row r="38" spans="2:11" x14ac:dyDescent="0.25">
      <c r="B38" s="985"/>
      <c r="H38" s="389"/>
      <c r="J38" s="389"/>
      <c r="K38" s="389"/>
    </row>
    <row r="39" spans="2:11" x14ac:dyDescent="0.25">
      <c r="B39" s="985"/>
      <c r="H39" s="389"/>
      <c r="J39" s="389"/>
      <c r="K39" s="389"/>
    </row>
    <row r="40" spans="2:11" x14ac:dyDescent="0.25">
      <c r="B40" s="985"/>
    </row>
    <row r="41" spans="2:11" x14ac:dyDescent="0.25">
      <c r="B41" s="985"/>
    </row>
    <row r="59" spans="2:4" s="985" customFormat="1" x14ac:dyDescent="0.25"/>
    <row r="60" spans="2:4" s="985" customFormat="1" x14ac:dyDescent="0.25">
      <c r="B60" s="985" t="s">
        <v>980</v>
      </c>
    </row>
    <row r="61" spans="2:4" s="985" customFormat="1" x14ac:dyDescent="0.25">
      <c r="B61" s="985" t="s">
        <v>981</v>
      </c>
      <c r="D61" s="985" t="s">
        <v>982</v>
      </c>
    </row>
    <row r="62" spans="2:4" s="985" customFormat="1" x14ac:dyDescent="0.25">
      <c r="B62" s="985" t="str">
        <f>'1.5'!E35</f>
        <v>Reservoir</v>
      </c>
      <c r="C62" s="985" t="str">
        <f>'1.5'!F35</f>
        <v>Hydraulic Components</v>
      </c>
      <c r="D62" s="974">
        <f>'1.5'!N35</f>
        <v>72436.479128856619</v>
      </c>
    </row>
    <row r="63" spans="2:4" s="985" customFormat="1" x14ac:dyDescent="0.25">
      <c r="B63" s="985" t="str">
        <f>'1.5'!E23</f>
        <v>Hydraulic Cylinder</v>
      </c>
      <c r="C63" s="985" t="str">
        <f>'1.5'!F23</f>
        <v>Hydraulic Components</v>
      </c>
      <c r="D63" s="974">
        <f>'1.5'!N23</f>
        <v>56000</v>
      </c>
    </row>
    <row r="64" spans="2:4" s="985" customFormat="1" x14ac:dyDescent="0.25">
      <c r="B64" s="985" t="str">
        <f>'1.5'!E36</f>
        <v>Plumbing (Including Flex Lines)</v>
      </c>
      <c r="C64" s="985" t="str">
        <f>'1.5'!F36</f>
        <v>Hydraulic Components</v>
      </c>
      <c r="D64" s="974">
        <f>'1.5'!N36</f>
        <v>42000</v>
      </c>
    </row>
    <row r="65" spans="2:4" s="985" customFormat="1" x14ac:dyDescent="0.25">
      <c r="B65" s="985" t="str">
        <f>'1.5'!E27</f>
        <v>High Pressure Accumulators</v>
      </c>
      <c r="C65" s="985" t="str">
        <f>'1.5'!F27</f>
        <v>Hydraulic Components</v>
      </c>
      <c r="D65" s="974">
        <f>'1.5'!N27</f>
        <v>38868</v>
      </c>
    </row>
    <row r="66" spans="2:4" s="985" customFormat="1" x14ac:dyDescent="0.25">
      <c r="B66" s="985" t="str">
        <f>'1.5'!E37</f>
        <v>Fluid</v>
      </c>
      <c r="C66" s="985" t="str">
        <f>'1.5'!F37</f>
        <v>Hydraulic Components</v>
      </c>
      <c r="D66" s="974">
        <f>'1.5'!N37</f>
        <v>15500</v>
      </c>
    </row>
    <row r="67" spans="2:4" s="985" customFormat="1" x14ac:dyDescent="0.25">
      <c r="B67" s="985" t="str">
        <f>'1.5'!E25</f>
        <v>Hydraulic Motor</v>
      </c>
      <c r="C67" s="985" t="str">
        <f>'1.5'!F25</f>
        <v>Hydraulic Components</v>
      </c>
      <c r="D67" s="974">
        <f>'1.5'!N25</f>
        <v>14500</v>
      </c>
    </row>
    <row r="68" spans="2:4" s="985" customFormat="1" x14ac:dyDescent="0.25">
      <c r="B68" s="985" t="str">
        <f>'1.5'!E29</f>
        <v xml:space="preserve">Check Valves </v>
      </c>
      <c r="C68" s="985" t="str">
        <f>'1.5'!F29</f>
        <v>Hydraulic Components</v>
      </c>
      <c r="D68" s="974">
        <f>'1.5'!N29</f>
        <v>9200</v>
      </c>
    </row>
    <row r="69" spans="2:4" s="985" customFormat="1" x14ac:dyDescent="0.25">
      <c r="B69" s="985" t="str">
        <f>'1.5'!E30</f>
        <v xml:space="preserve">Solenoid Valves </v>
      </c>
      <c r="C69" s="985" t="str">
        <f>'1.5'!F30</f>
        <v>Hydraulic Components</v>
      </c>
      <c r="D69" s="974">
        <f>'1.5'!N30</f>
        <v>3345.8041958041958</v>
      </c>
    </row>
    <row r="70" spans="2:4" s="985" customFormat="1" x14ac:dyDescent="0.25">
      <c r="B70" s="985" t="str">
        <f>'1.5'!E34</f>
        <v>Low Pressure Filter</v>
      </c>
      <c r="C70" s="985" t="str">
        <f>'1.5'!F34</f>
        <v>Hydraulic Components</v>
      </c>
      <c r="D70" s="974">
        <f>'1.5'!N34</f>
        <v>2900</v>
      </c>
    </row>
    <row r="71" spans="2:4" s="985" customFormat="1" x14ac:dyDescent="0.25">
      <c r="B71" s="985" t="str">
        <f>'1.5'!E33</f>
        <v>High Pressure Filter</v>
      </c>
      <c r="C71" s="985" t="str">
        <f>'1.5'!F33</f>
        <v>Hydraulic Components</v>
      </c>
      <c r="D71" s="974">
        <f>'1.5'!N33</f>
        <v>2850</v>
      </c>
    </row>
    <row r="72" spans="2:4" s="985" customFormat="1" x14ac:dyDescent="0.25">
      <c r="B72" s="985" t="str">
        <f>'1.5'!E31</f>
        <v>Valve Subplate</v>
      </c>
      <c r="C72" s="985" t="str">
        <f>'1.5'!F31</f>
        <v>Hydraulic Components</v>
      </c>
      <c r="D72" s="974">
        <f>'1.5'!N31</f>
        <v>2457.3426573426573</v>
      </c>
    </row>
    <row r="73" spans="2:4" s="985" customFormat="1" x14ac:dyDescent="0.25">
      <c r="B73" s="985" t="str">
        <f>'1.5'!E32</f>
        <v>Pressure Transducers</v>
      </c>
      <c r="C73" s="985" t="str">
        <f>'1.5'!F32</f>
        <v>Hydraulic Components</v>
      </c>
      <c r="D73" s="974">
        <f>'1.5'!N32</f>
        <v>788.11188811188811</v>
      </c>
    </row>
    <row r="74" spans="2:4" s="985" customFormat="1" x14ac:dyDescent="0.25">
      <c r="B74" s="985" t="str">
        <f>'1.5'!E28</f>
        <v>Releif Valves</v>
      </c>
      <c r="C74" s="985" t="str">
        <f>'1.5'!F28</f>
        <v>Hydraulic Components</v>
      </c>
      <c r="D74" s="974">
        <f>'1.5'!N28</f>
        <v>712</v>
      </c>
    </row>
    <row r="75" spans="2:4" s="985" customFormat="1" x14ac:dyDescent="0.25"/>
    <row r="76" spans="2:4" s="985" customFormat="1" x14ac:dyDescent="0.25"/>
    <row r="77" spans="2:4" s="985" customFormat="1" x14ac:dyDescent="0.25">
      <c r="D77" s="974"/>
    </row>
    <row r="78" spans="2:4" s="985" customFormat="1" x14ac:dyDescent="0.25">
      <c r="D78" s="974"/>
    </row>
    <row r="79" spans="2:4" s="985" customFormat="1" x14ac:dyDescent="0.25">
      <c r="D79" s="974"/>
    </row>
    <row r="80" spans="2:4" s="985" customFormat="1" x14ac:dyDescent="0.25">
      <c r="D80" s="974"/>
    </row>
    <row r="81" spans="2:20" s="985" customFormat="1" x14ac:dyDescent="0.25">
      <c r="D81" s="974"/>
    </row>
    <row r="82" spans="2:20" s="985" customFormat="1" x14ac:dyDescent="0.25">
      <c r="D82" s="974"/>
    </row>
    <row r="83" spans="2:20" s="985" customFormat="1" x14ac:dyDescent="0.25">
      <c r="D83" s="974"/>
    </row>
    <row r="84" spans="2:20" s="985" customFormat="1" x14ac:dyDescent="0.25">
      <c r="D84" s="974"/>
    </row>
    <row r="85" spans="2:20" s="985" customFormat="1" x14ac:dyDescent="0.25">
      <c r="D85" s="974"/>
    </row>
    <row r="86" spans="2:20" s="985" customFormat="1" x14ac:dyDescent="0.25"/>
    <row r="87" spans="2:20" s="985" customFormat="1" x14ac:dyDescent="0.25"/>
    <row r="88" spans="2:20" s="985" customFormat="1" x14ac:dyDescent="0.25"/>
    <row r="89" spans="2:20" s="985" customFormat="1" x14ac:dyDescent="0.25"/>
    <row r="91" spans="2:20" x14ac:dyDescent="0.25">
      <c r="B91" t="s">
        <v>729</v>
      </c>
    </row>
    <row r="92" spans="2:20" ht="45" x14ac:dyDescent="0.25">
      <c r="C92">
        <v>1</v>
      </c>
      <c r="D92">
        <v>10</v>
      </c>
      <c r="E92">
        <v>50</v>
      </c>
      <c r="F92">
        <v>100</v>
      </c>
      <c r="L92" s="773"/>
      <c r="M92" s="774" t="s">
        <v>730</v>
      </c>
      <c r="N92" s="774" t="s">
        <v>731</v>
      </c>
      <c r="O92" s="774" t="s">
        <v>732</v>
      </c>
      <c r="P92" s="774" t="s">
        <v>733</v>
      </c>
    </row>
    <row r="93" spans="2:20" x14ac:dyDescent="0.25">
      <c r="B93" t="str">
        <f>'CBS ($ per kW)'!D20</f>
        <v>Mooring lines/chain</v>
      </c>
      <c r="C93" s="434">
        <f>'CBS ($ per kW)'!J20</f>
        <v>973.93310061343493</v>
      </c>
      <c r="D93" s="434">
        <f>'CBS ($ per kW)'!L20</f>
        <v>876.53979055209152</v>
      </c>
      <c r="E93" s="434">
        <f>'CBS ($ per kW)'!N20</f>
        <v>876.53979055209152</v>
      </c>
      <c r="F93" s="434">
        <f>'CBS ($ per kW)'!P20</f>
        <v>876.53979055209152</v>
      </c>
      <c r="H93" s="745"/>
      <c r="J93" s="745"/>
      <c r="L93" s="775" t="str">
        <f>B93</f>
        <v>Mooring lines/chain</v>
      </c>
      <c r="M93" s="777">
        <f t="shared" ref="M93:P93" si="0">C93</f>
        <v>973.93310061343493</v>
      </c>
      <c r="N93" s="777">
        <f t="shared" si="0"/>
        <v>876.53979055209152</v>
      </c>
      <c r="O93" s="777">
        <f t="shared" si="0"/>
        <v>876.53979055209152</v>
      </c>
      <c r="P93" s="777">
        <f t="shared" si="0"/>
        <v>876.53979055209152</v>
      </c>
      <c r="Q93" s="831">
        <f>M93/$M$99</f>
        <v>0.21729453433720994</v>
      </c>
      <c r="R93" s="831">
        <f>N93/$N$99</f>
        <v>0.27489040439155998</v>
      </c>
      <c r="S93" s="831">
        <f>O93/$O$99</f>
        <v>0.29577959840987844</v>
      </c>
      <c r="T93" s="831">
        <f>P93/$P$99</f>
        <v>0.30269452786780138</v>
      </c>
    </row>
    <row r="94" spans="2:20" x14ac:dyDescent="0.25">
      <c r="B94" s="745" t="str">
        <f>'CBS ($ per kW)'!D21</f>
        <v>Anchors</v>
      </c>
      <c r="C94" s="434">
        <f>'CBS ($ per kW)'!J21</f>
        <v>2083.7382694762973</v>
      </c>
      <c r="D94" s="434">
        <f>'CBS ($ per kW)'!L21</f>
        <v>1030.1739634251298</v>
      </c>
      <c r="E94" s="434">
        <f>'CBS ($ per kW)'!N21</f>
        <v>804.97544748036091</v>
      </c>
      <c r="F94" s="434">
        <f>'CBS ($ per kW)'!P21</f>
        <v>737.2757691824529</v>
      </c>
      <c r="H94" s="745"/>
      <c r="J94" s="745"/>
      <c r="L94" s="778" t="s">
        <v>734</v>
      </c>
      <c r="M94" s="776">
        <f>'1.3'!F16/('1.3'!F14*'Performance &amp; Economics'!$E$17)</f>
        <v>898.99138861165852</v>
      </c>
      <c r="N94" s="776">
        <f>'1.3'!G16/('1.3'!G14*'Performance &amp; Economics'!$E$17)</f>
        <v>809.09224975049278</v>
      </c>
      <c r="O94" s="776">
        <f>'1.3'!H16/('1.3'!H14*'Performance &amp; Economics'!$E$17)</f>
        <v>809.09224975049278</v>
      </c>
      <c r="P94" s="776">
        <f>'1.3'!I16/('1.3'!I14*'Performance &amp; Economics'!$E$17)</f>
        <v>809.09224975049278</v>
      </c>
      <c r="Q94" s="831">
        <f t="shared" ref="Q94:Q98" si="1">M94/$M$99</f>
        <v>0.20057426432933928</v>
      </c>
      <c r="R94" s="831">
        <f t="shared" ref="R94:R98" si="2">N94/$N$99</f>
        <v>0.25373827648360753</v>
      </c>
      <c r="S94" s="831">
        <f t="shared" ref="S94:S98" si="3">O94/$O$99</f>
        <v>0.27302009935796956</v>
      </c>
      <c r="T94" s="831">
        <f t="shared" ref="T94:T98" si="4">P94/$P$99</f>
        <v>0.27940294231875845</v>
      </c>
    </row>
    <row r="95" spans="2:20" x14ac:dyDescent="0.25">
      <c r="B95" s="745" t="str">
        <f>'CBS ($ per kW)'!D22</f>
        <v>Buoyancy</v>
      </c>
      <c r="C95" s="434">
        <f>'CBS ($ per kW)'!J22</f>
        <v>166.53713778172533</v>
      </c>
      <c r="D95" s="434">
        <f>'CBS ($ per kW)'!L22</f>
        <v>149.88342400355279</v>
      </c>
      <c r="E95" s="434">
        <f>'CBS ($ per kW)'!N22</f>
        <v>149.88342400355279</v>
      </c>
      <c r="F95" s="434">
        <f>'CBS ($ per kW)'!P22</f>
        <v>149.88342400355279</v>
      </c>
      <c r="H95" s="745"/>
      <c r="J95" s="745"/>
      <c r="L95" s="778" t="s">
        <v>737</v>
      </c>
      <c r="M95" s="776">
        <f>'1.3'!F17/('1.3'!F14*'Performance &amp; Economics'!$E$17)</f>
        <v>74.941712001776395</v>
      </c>
      <c r="N95" s="776">
        <f>'1.3'!G17/('1.3'!G14*'Performance &amp; Economics'!$E$17)</f>
        <v>67.447540801598763</v>
      </c>
      <c r="O95" s="776">
        <f>'1.3'!H17/('1.3'!H14*'Performance &amp; Economics'!$E$17)</f>
        <v>67.447540801598763</v>
      </c>
      <c r="P95" s="776">
        <f>'1.3'!I17/('1.3'!I14*'Performance &amp; Economics'!$E$17)</f>
        <v>67.447540801598763</v>
      </c>
      <c r="Q95" s="831">
        <f t="shared" si="1"/>
        <v>1.6720270007870665E-2</v>
      </c>
      <c r="R95" s="831">
        <f t="shared" si="2"/>
        <v>2.1152127907952491E-2</v>
      </c>
      <c r="S95" s="831">
        <f t="shared" si="3"/>
        <v>2.2759499051908924E-2</v>
      </c>
      <c r="T95" s="831">
        <f t="shared" si="4"/>
        <v>2.3291585549042926E-2</v>
      </c>
    </row>
    <row r="96" spans="2:20" x14ac:dyDescent="0.25">
      <c r="B96" s="745" t="str">
        <f>'CBS ($ per kW)'!D23</f>
        <v>Connecting Hardware (shackles etc.)</v>
      </c>
      <c r="C96" s="434">
        <f>'CBS ($ per kW)'!J23</f>
        <v>283.94581991784167</v>
      </c>
      <c r="D96" s="434">
        <f>'CBS ($ per kW)'!L23</f>
        <v>255.55123792605752</v>
      </c>
      <c r="E96" s="434">
        <f>'CBS ($ per kW)'!N23</f>
        <v>255.55123792605752</v>
      </c>
      <c r="F96" s="434">
        <f>'CBS ($ per kW)'!P23</f>
        <v>255.55123792605752</v>
      </c>
      <c r="H96" s="745"/>
      <c r="J96" s="745"/>
      <c r="L96" s="775" t="str">
        <f t="shared" ref="L96:P98" si="5">B94</f>
        <v>Anchors</v>
      </c>
      <c r="M96" s="777">
        <f t="shared" si="5"/>
        <v>2083.7382694762973</v>
      </c>
      <c r="N96" s="777">
        <f t="shared" si="5"/>
        <v>1030.1739634251298</v>
      </c>
      <c r="O96" s="777">
        <f t="shared" si="5"/>
        <v>804.97544748036091</v>
      </c>
      <c r="P96" s="777">
        <f t="shared" si="5"/>
        <v>737.2757691824529</v>
      </c>
      <c r="Q96" s="831">
        <f t="shared" si="1"/>
        <v>0.46490353050049088</v>
      </c>
      <c r="R96" s="831">
        <f t="shared" si="2"/>
        <v>0.32307140012574342</v>
      </c>
      <c r="S96" s="831">
        <f t="shared" si="3"/>
        <v>0.27163092554599061</v>
      </c>
      <c r="T96" s="831">
        <f t="shared" si="4"/>
        <v>0.25460263557515028</v>
      </c>
    </row>
    <row r="97" spans="2:20" x14ac:dyDescent="0.25">
      <c r="B97" s="745"/>
      <c r="L97" s="775" t="str">
        <f t="shared" si="5"/>
        <v>Buoyancy</v>
      </c>
      <c r="M97" s="777">
        <f t="shared" si="5"/>
        <v>166.53713778172533</v>
      </c>
      <c r="N97" s="777">
        <f t="shared" si="5"/>
        <v>149.88342400355279</v>
      </c>
      <c r="O97" s="777">
        <f t="shared" si="5"/>
        <v>149.88342400355279</v>
      </c>
      <c r="P97" s="777">
        <f t="shared" si="5"/>
        <v>149.88342400355279</v>
      </c>
      <c r="Q97" s="831">
        <f t="shared" si="1"/>
        <v>3.7156155573045926E-2</v>
      </c>
      <c r="R97" s="831">
        <f t="shared" si="2"/>
        <v>4.7004728684338866E-2</v>
      </c>
      <c r="S97" s="831">
        <f t="shared" si="3"/>
        <v>5.0576664559797604E-2</v>
      </c>
      <c r="T97" s="831">
        <f t="shared" si="4"/>
        <v>5.1759078997873166E-2</v>
      </c>
    </row>
    <row r="98" spans="2:20" x14ac:dyDescent="0.25">
      <c r="L98" s="775" t="str">
        <f t="shared" si="5"/>
        <v>Connecting Hardware (shackles etc.)</v>
      </c>
      <c r="M98" s="777">
        <f t="shared" si="5"/>
        <v>283.94581991784167</v>
      </c>
      <c r="N98" s="777">
        <f t="shared" si="5"/>
        <v>255.55123792605752</v>
      </c>
      <c r="O98" s="777">
        <f t="shared" si="5"/>
        <v>255.55123792605752</v>
      </c>
      <c r="P98" s="777">
        <f t="shared" si="5"/>
        <v>255.55123792605752</v>
      </c>
      <c r="Q98" s="831">
        <f t="shared" si="1"/>
        <v>6.3351245252043303E-2</v>
      </c>
      <c r="R98" s="831">
        <f t="shared" si="2"/>
        <v>8.0143062406797763E-2</v>
      </c>
      <c r="S98" s="831">
        <f t="shared" si="3"/>
        <v>8.6233213074454917E-2</v>
      </c>
      <c r="T98" s="831">
        <f t="shared" si="4"/>
        <v>8.8249229691373748E-2</v>
      </c>
    </row>
    <row r="99" spans="2:20" x14ac:dyDescent="0.25">
      <c r="L99" s="832" t="s">
        <v>80</v>
      </c>
      <c r="M99" s="833">
        <f>SUM(M93:M98)</f>
        <v>4482.0874284027341</v>
      </c>
      <c r="N99" s="833">
        <f>SUM(N93:N98)</f>
        <v>3188.6882064589231</v>
      </c>
      <c r="O99" s="833">
        <f>SUM(O93:O98)</f>
        <v>2963.4896905141541</v>
      </c>
      <c r="P99" s="833">
        <f>SUM(P93:P98)</f>
        <v>2895.7900122162464</v>
      </c>
      <c r="Q99" s="831"/>
      <c r="R99" s="831"/>
      <c r="S99" s="831"/>
      <c r="T99" s="831"/>
    </row>
    <row r="100" spans="2:20" x14ac:dyDescent="0.25">
      <c r="Q100" s="388">
        <f>SUM(Q93:Q99)</f>
        <v>1</v>
      </c>
      <c r="R100" s="388">
        <f t="shared" ref="R100:T100" si="6">SUM(R93:R99)</f>
        <v>1</v>
      </c>
      <c r="S100" s="388">
        <f t="shared" si="6"/>
        <v>1</v>
      </c>
      <c r="T100" s="388">
        <f t="shared" si="6"/>
        <v>0.99999999999999989</v>
      </c>
    </row>
    <row r="104" spans="2:20" x14ac:dyDescent="0.25">
      <c r="L104" s="480"/>
    </row>
    <row r="113" spans="2:16" x14ac:dyDescent="0.25">
      <c r="L113" s="745"/>
      <c r="M113" s="745"/>
      <c r="N113" s="745"/>
      <c r="O113" s="745"/>
      <c r="P113" s="745"/>
    </row>
    <row r="114" spans="2:16" s="745" customFormat="1" x14ac:dyDescent="0.25">
      <c r="B114" s="745" t="s">
        <v>738</v>
      </c>
    </row>
    <row r="115" spans="2:16" s="745" customFormat="1" x14ac:dyDescent="0.25">
      <c r="B115" s="795"/>
      <c r="C115" s="1231" t="s">
        <v>84</v>
      </c>
      <c r="D115" s="1232"/>
      <c r="E115" s="1233"/>
      <c r="F115" s="1234" t="s">
        <v>983</v>
      </c>
      <c r="G115" s="1234"/>
      <c r="H115" s="1235"/>
    </row>
    <row r="116" spans="2:16" s="745" customFormat="1" ht="24" x14ac:dyDescent="0.25">
      <c r="B116" s="796" t="s">
        <v>749</v>
      </c>
      <c r="C116" s="797" t="s">
        <v>750</v>
      </c>
      <c r="D116" s="798" t="s">
        <v>751</v>
      </c>
      <c r="E116" s="799" t="s">
        <v>78</v>
      </c>
      <c r="F116" s="798" t="s">
        <v>750</v>
      </c>
      <c r="G116" s="798" t="s">
        <v>751</v>
      </c>
      <c r="H116" s="799" t="s">
        <v>78</v>
      </c>
    </row>
    <row r="117" spans="2:16" s="745" customFormat="1" x14ac:dyDescent="0.25">
      <c r="B117" s="800" t="s">
        <v>739</v>
      </c>
      <c r="C117" s="801"/>
      <c r="D117" s="802"/>
      <c r="E117" s="803"/>
      <c r="F117" s="802"/>
      <c r="G117" s="802"/>
      <c r="H117" s="803"/>
    </row>
    <row r="118" spans="2:16" s="745" customFormat="1" x14ac:dyDescent="0.25">
      <c r="B118" s="804" t="s">
        <v>740</v>
      </c>
      <c r="C118" s="805">
        <f>'1.7'!E45</f>
        <v>68.745000000000005</v>
      </c>
      <c r="D118" s="806">
        <f>'1.7'!F45</f>
        <v>58754.265764782889</v>
      </c>
      <c r="E118" s="807">
        <f>'1.7'!G45</f>
        <v>4039062</v>
      </c>
      <c r="F118" s="808">
        <f>'1.7'!H45</f>
        <v>68.745000000000005</v>
      </c>
      <c r="G118" s="806">
        <f>'1.7'!I45</f>
        <v>58754.265764782889</v>
      </c>
      <c r="H118" s="807">
        <f>'1.7'!J45</f>
        <v>4039062</v>
      </c>
    </row>
    <row r="119" spans="2:16" s="745" customFormat="1" x14ac:dyDescent="0.25">
      <c r="B119" s="804" t="s">
        <v>741</v>
      </c>
      <c r="C119" s="805">
        <f>'1.7'!E46</f>
        <v>4</v>
      </c>
      <c r="D119" s="806"/>
      <c r="E119" s="807">
        <f>'1.7'!G46</f>
        <v>422000</v>
      </c>
      <c r="F119" s="808">
        <f>'1.7'!H46</f>
        <v>4</v>
      </c>
      <c r="G119" s="806"/>
      <c r="H119" s="807">
        <f>'1.7'!P46</f>
        <v>422000</v>
      </c>
    </row>
    <row r="120" spans="2:16" s="745" customFormat="1" x14ac:dyDescent="0.25">
      <c r="B120" s="804" t="s">
        <v>742</v>
      </c>
      <c r="C120" s="805"/>
      <c r="D120" s="806"/>
      <c r="E120" s="807">
        <f>'1.7'!G47</f>
        <v>7350</v>
      </c>
      <c r="F120" s="808"/>
      <c r="G120" s="806"/>
      <c r="H120" s="807">
        <f>'1.7'!P47</f>
        <v>735000</v>
      </c>
    </row>
    <row r="121" spans="2:16" s="745" customFormat="1" x14ac:dyDescent="0.25">
      <c r="B121" s="804" t="s">
        <v>743</v>
      </c>
      <c r="C121" s="805">
        <f>'1.7'!E48</f>
        <v>0.37</v>
      </c>
      <c r="D121" s="806">
        <f>'1.7'!F48</f>
        <v>70485</v>
      </c>
      <c r="E121" s="807">
        <f>'1.7'!G48</f>
        <v>26079.45</v>
      </c>
      <c r="F121" s="808">
        <f>'1.7'!H48</f>
        <v>3.666666666666667</v>
      </c>
      <c r="G121" s="806">
        <f>'1.7'!I48</f>
        <v>70485</v>
      </c>
      <c r="H121" s="807">
        <f>'1.7'!J48</f>
        <v>258445.00000000003</v>
      </c>
    </row>
    <row r="122" spans="2:16" s="745" customFormat="1" x14ac:dyDescent="0.25">
      <c r="B122" s="804" t="s">
        <v>326</v>
      </c>
      <c r="C122" s="805">
        <f>'1.7'!E49</f>
        <v>0.36</v>
      </c>
      <c r="D122" s="806">
        <f>'1.7'!F49</f>
        <v>76610</v>
      </c>
      <c r="E122" s="807">
        <f>'1.7'!G49</f>
        <v>27579.599999999999</v>
      </c>
      <c r="F122" s="808">
        <f>'1.7'!H49</f>
        <v>3.5999999999999996</v>
      </c>
      <c r="G122" s="806">
        <f>'1.7'!I49</f>
        <v>76610</v>
      </c>
      <c r="H122" s="807">
        <f>'1.7'!J49</f>
        <v>275796</v>
      </c>
    </row>
    <row r="123" spans="2:16" s="745" customFormat="1" x14ac:dyDescent="0.25">
      <c r="B123" s="804" t="s">
        <v>744</v>
      </c>
      <c r="C123" s="805">
        <f>'1.7'!E50</f>
        <v>0.37</v>
      </c>
      <c r="D123" s="806">
        <f>'1.7'!F50</f>
        <v>73810</v>
      </c>
      <c r="E123" s="807">
        <f>'1.7'!G50</f>
        <v>27309.7</v>
      </c>
      <c r="F123" s="808">
        <f>'1.7'!H50</f>
        <v>3.666666666666667</v>
      </c>
      <c r="G123" s="806">
        <f>'1.7'!I50</f>
        <v>73810</v>
      </c>
      <c r="H123" s="807">
        <f>'1.7'!J50</f>
        <v>270636.66666666669</v>
      </c>
    </row>
    <row r="124" spans="2:16" s="745" customFormat="1" x14ac:dyDescent="0.25">
      <c r="B124" s="809" t="s">
        <v>80</v>
      </c>
      <c r="C124" s="810">
        <f>SUM(C118:C123)</f>
        <v>73.845000000000013</v>
      </c>
      <c r="D124" s="811">
        <f t="shared" ref="D124:E124" si="7">SUM(D118:D123)</f>
        <v>279659.2657647829</v>
      </c>
      <c r="E124" s="812">
        <f t="shared" si="7"/>
        <v>4549380.75</v>
      </c>
      <c r="F124" s="813">
        <f t="shared" ref="F124" si="8">SUM(F118:F123)</f>
        <v>83.678333333333342</v>
      </c>
      <c r="G124" s="811">
        <f t="shared" ref="G124" si="9">SUM(G118:G123)</f>
        <v>279659.2657647829</v>
      </c>
      <c r="H124" s="812">
        <f t="shared" ref="H124" si="10">SUM(H118:H123)</f>
        <v>6000939.666666667</v>
      </c>
    </row>
    <row r="125" spans="2:16" s="745" customFormat="1" x14ac:dyDescent="0.25">
      <c r="B125" s="804"/>
      <c r="C125" s="814"/>
      <c r="D125" s="815"/>
      <c r="E125" s="816"/>
      <c r="F125" s="815"/>
      <c r="G125" s="815"/>
      <c r="H125" s="816"/>
    </row>
    <row r="126" spans="2:16" s="745" customFormat="1" x14ac:dyDescent="0.25">
      <c r="B126" s="800" t="s">
        <v>48</v>
      </c>
      <c r="C126" s="801"/>
      <c r="D126" s="802"/>
      <c r="E126" s="803"/>
      <c r="F126" s="802"/>
      <c r="G126" s="802"/>
      <c r="H126" s="803"/>
    </row>
    <row r="127" spans="2:16" s="745" customFormat="1" x14ac:dyDescent="0.25">
      <c r="B127" s="804" t="s">
        <v>745</v>
      </c>
      <c r="C127" s="814"/>
      <c r="D127" s="815"/>
      <c r="E127" s="807">
        <f>'1.7'!F34</f>
        <v>667000</v>
      </c>
      <c r="F127" s="815"/>
      <c r="G127" s="815"/>
      <c r="H127" s="807">
        <f>'1.7'!G34</f>
        <v>767200</v>
      </c>
    </row>
    <row r="128" spans="2:16" s="745" customFormat="1" x14ac:dyDescent="0.25">
      <c r="B128" s="804"/>
      <c r="C128" s="814"/>
      <c r="D128" s="815"/>
      <c r="E128" s="816"/>
      <c r="F128" s="815"/>
      <c r="G128" s="815"/>
      <c r="H128" s="816"/>
    </row>
    <row r="129" spans="2:16" s="745" customFormat="1" x14ac:dyDescent="0.25">
      <c r="B129" s="800" t="s">
        <v>746</v>
      </c>
      <c r="C129" s="801"/>
      <c r="D129" s="802"/>
      <c r="E129" s="803"/>
      <c r="F129" s="802"/>
      <c r="G129" s="802"/>
      <c r="H129" s="803"/>
    </row>
    <row r="130" spans="2:16" s="745" customFormat="1" x14ac:dyDescent="0.25">
      <c r="B130" s="804" t="s">
        <v>340</v>
      </c>
      <c r="C130" s="805">
        <f>'1.7'!E71</f>
        <v>11</v>
      </c>
      <c r="D130" s="806">
        <f>'1.7'!F71</f>
        <v>66350</v>
      </c>
      <c r="E130" s="807">
        <f>'1.7'!G71</f>
        <v>729850</v>
      </c>
      <c r="F130" s="808">
        <f>'1.7'!H71</f>
        <v>11</v>
      </c>
      <c r="G130" s="806">
        <f>'1.7'!I71</f>
        <v>66350</v>
      </c>
      <c r="H130" s="807">
        <f>'1.7'!J71</f>
        <v>729850</v>
      </c>
    </row>
    <row r="131" spans="2:16" s="745" customFormat="1" x14ac:dyDescent="0.25">
      <c r="B131" s="804" t="s">
        <v>341</v>
      </c>
      <c r="C131" s="805">
        <f>'1.7'!E72</f>
        <v>0.71</v>
      </c>
      <c r="D131" s="806">
        <f>'1.7'!F72</f>
        <v>75625</v>
      </c>
      <c r="E131" s="807">
        <f>'1.7'!G72</f>
        <v>53693.75</v>
      </c>
      <c r="F131" s="808">
        <f>'1.7'!H72</f>
        <v>3.4</v>
      </c>
      <c r="G131" s="806">
        <f>'1.7'!I72</f>
        <v>75625</v>
      </c>
      <c r="H131" s="807">
        <f>'1.7'!J72</f>
        <v>257125</v>
      </c>
    </row>
    <row r="132" spans="2:16" s="745" customFormat="1" x14ac:dyDescent="0.25">
      <c r="B132" s="804" t="s">
        <v>342</v>
      </c>
      <c r="C132" s="805">
        <f>'1.7'!E73</f>
        <v>2</v>
      </c>
      <c r="D132" s="806">
        <f>'1.7'!F73</f>
        <v>101275</v>
      </c>
      <c r="E132" s="807">
        <f>'1.7'!G73</f>
        <v>202550</v>
      </c>
      <c r="F132" s="808">
        <f>'1.7'!H73</f>
        <v>2</v>
      </c>
      <c r="G132" s="806">
        <f>'1.7'!I73</f>
        <v>101275</v>
      </c>
      <c r="H132" s="807">
        <f>'1.7'!J73</f>
        <v>202550</v>
      </c>
    </row>
    <row r="133" spans="2:16" s="745" customFormat="1" x14ac:dyDescent="0.25">
      <c r="B133" s="804" t="s">
        <v>343</v>
      </c>
      <c r="C133" s="805">
        <f>'1.7'!E74</f>
        <v>0.55000000000000004</v>
      </c>
      <c r="D133" s="806">
        <f>'1.7'!F74</f>
        <v>101075</v>
      </c>
      <c r="E133" s="807">
        <f>'1.7'!G74</f>
        <v>55591.250000000007</v>
      </c>
      <c r="F133" s="808">
        <f>'1.7'!H74</f>
        <v>5.5</v>
      </c>
      <c r="G133" s="806">
        <f>'1.7'!I74</f>
        <v>101075</v>
      </c>
      <c r="H133" s="807">
        <f>'1.7'!J74</f>
        <v>555912.5</v>
      </c>
    </row>
    <row r="134" spans="2:16" s="745" customFormat="1" x14ac:dyDescent="0.25">
      <c r="B134" s="804" t="s">
        <v>344</v>
      </c>
      <c r="C134" s="805">
        <f>'1.7'!E75</f>
        <v>3.1</v>
      </c>
      <c r="D134" s="806">
        <f>'1.7'!F75</f>
        <v>101075</v>
      </c>
      <c r="E134" s="807">
        <f>'1.7'!G75</f>
        <v>313332.5</v>
      </c>
      <c r="F134" s="808">
        <f>'1.7'!H75</f>
        <v>3.1</v>
      </c>
      <c r="G134" s="806">
        <f>'1.7'!I75</f>
        <v>101075</v>
      </c>
      <c r="H134" s="807">
        <f>'1.7'!J75</f>
        <v>313332.5</v>
      </c>
    </row>
    <row r="135" spans="2:16" s="745" customFormat="1" x14ac:dyDescent="0.25">
      <c r="B135" s="804" t="s">
        <v>142</v>
      </c>
      <c r="C135" s="805">
        <f>'1.7'!E77</f>
        <v>1.7360000000000004</v>
      </c>
      <c r="D135" s="806">
        <f>'1.7'!F77</f>
        <v>87855</v>
      </c>
      <c r="E135" s="807">
        <f>'1.7'!G77</f>
        <v>152516.28000000003</v>
      </c>
      <c r="F135" s="808">
        <f>'1.7'!H77</f>
        <v>2.52</v>
      </c>
      <c r="G135" s="806">
        <f>'1.7'!I77</f>
        <v>87855</v>
      </c>
      <c r="H135" s="807">
        <f>'1.7'!J77</f>
        <v>221394.6</v>
      </c>
    </row>
    <row r="136" spans="2:16" s="745" customFormat="1" x14ac:dyDescent="0.25">
      <c r="B136" s="809" t="s">
        <v>80</v>
      </c>
      <c r="C136" s="810">
        <f>SUM(C130:C135)</f>
        <v>19.096000000000004</v>
      </c>
      <c r="D136" s="811">
        <f t="shared" ref="D136:H136" si="11">SUM(D130:D135)</f>
        <v>533255</v>
      </c>
      <c r="E136" s="812">
        <f t="shared" si="11"/>
        <v>1507533.78</v>
      </c>
      <c r="F136" s="813">
        <f t="shared" si="11"/>
        <v>27.52</v>
      </c>
      <c r="G136" s="811">
        <f>SUM(G130:G135)</f>
        <v>533255</v>
      </c>
      <c r="H136" s="812">
        <f t="shared" si="11"/>
        <v>2280164.6</v>
      </c>
    </row>
    <row r="137" spans="2:16" s="745" customFormat="1" x14ac:dyDescent="0.25">
      <c r="B137" s="804"/>
      <c r="C137" s="814"/>
      <c r="D137" s="815"/>
      <c r="E137" s="816"/>
      <c r="F137" s="815"/>
      <c r="G137" s="815"/>
      <c r="H137" s="816"/>
    </row>
    <row r="138" spans="2:16" s="745" customFormat="1" x14ac:dyDescent="0.25">
      <c r="B138" s="800" t="s">
        <v>747</v>
      </c>
      <c r="C138" s="801"/>
      <c r="D138" s="802"/>
      <c r="E138" s="803"/>
      <c r="F138" s="802"/>
      <c r="G138" s="802"/>
      <c r="H138" s="803"/>
    </row>
    <row r="139" spans="2:16" s="745" customFormat="1" x14ac:dyDescent="0.25">
      <c r="B139" s="804" t="s">
        <v>748</v>
      </c>
      <c r="C139" s="805"/>
      <c r="D139" s="806"/>
      <c r="E139" s="807">
        <f>'1.7'!G92</f>
        <v>181750</v>
      </c>
      <c r="F139" s="808"/>
      <c r="G139" s="806"/>
      <c r="H139" s="806">
        <f>'1.7'!J92</f>
        <v>181750</v>
      </c>
    </row>
    <row r="140" spans="2:16" s="745" customFormat="1" x14ac:dyDescent="0.25">
      <c r="B140" s="804" t="s">
        <v>46</v>
      </c>
      <c r="C140" s="805">
        <f>'1.7'!E93</f>
        <v>1</v>
      </c>
      <c r="D140" s="806">
        <f>'1.7'!F93</f>
        <v>66775</v>
      </c>
      <c r="E140" s="807">
        <f>'1.7'!G93</f>
        <v>66775</v>
      </c>
      <c r="F140" s="808">
        <f>'1.7'!H93</f>
        <v>10</v>
      </c>
      <c r="G140" s="806">
        <f>'1.7'!I93</f>
        <v>66775</v>
      </c>
      <c r="H140" s="806">
        <f>'1.7'!J93</f>
        <v>667750</v>
      </c>
    </row>
    <row r="141" spans="2:16" s="745" customFormat="1" x14ac:dyDescent="0.25">
      <c r="B141" s="804" t="s">
        <v>142</v>
      </c>
      <c r="C141" s="805">
        <f>'1.7'!E94</f>
        <v>0.1</v>
      </c>
      <c r="D141" s="806">
        <f>'1.7'!F94</f>
        <v>66775</v>
      </c>
      <c r="E141" s="807">
        <f>'1.7'!G94</f>
        <v>6677.5</v>
      </c>
      <c r="F141" s="808">
        <f>'1.7'!H94</f>
        <v>1</v>
      </c>
      <c r="G141" s="806">
        <f>'1.7'!I94</f>
        <v>66775</v>
      </c>
      <c r="H141" s="806">
        <f>'1.7'!J94</f>
        <v>66775</v>
      </c>
    </row>
    <row r="142" spans="2:16" s="745" customFormat="1" x14ac:dyDescent="0.25">
      <c r="B142" s="817" t="s">
        <v>80</v>
      </c>
      <c r="C142" s="818">
        <f>SUM(C139:C141)</f>
        <v>1.1000000000000001</v>
      </c>
      <c r="D142" s="819">
        <f t="shared" ref="D142:E142" si="12">SUM(D139:D141)</f>
        <v>133550</v>
      </c>
      <c r="E142" s="820">
        <f t="shared" si="12"/>
        <v>255202.5</v>
      </c>
      <c r="F142" s="821">
        <f t="shared" ref="F142" si="13">SUM(F139:F141)</f>
        <v>11</v>
      </c>
      <c r="G142" s="819">
        <f t="shared" ref="G142" si="14">SUM(G139:G141)</f>
        <v>133550</v>
      </c>
      <c r="H142" s="820">
        <f t="shared" ref="H142" si="15">SUM(H139:H141)</f>
        <v>916275</v>
      </c>
      <c r="L142"/>
      <c r="M142"/>
      <c r="N142"/>
      <c r="O142"/>
      <c r="P142"/>
    </row>
    <row r="143" spans="2:16" x14ac:dyDescent="0.25">
      <c r="L143" s="745"/>
      <c r="M143" s="745"/>
      <c r="N143" s="745"/>
      <c r="O143" s="745"/>
      <c r="P143" s="745"/>
    </row>
    <row r="144" spans="2:16" s="745" customFormat="1" x14ac:dyDescent="0.25">
      <c r="B144" s="745" t="s">
        <v>752</v>
      </c>
    </row>
    <row r="145" spans="2:6" s="745" customFormat="1" x14ac:dyDescent="0.25">
      <c r="C145" s="745">
        <v>1</v>
      </c>
      <c r="D145" s="745">
        <v>10</v>
      </c>
      <c r="E145" s="745">
        <v>50</v>
      </c>
      <c r="F145" s="745">
        <v>100</v>
      </c>
    </row>
    <row r="146" spans="2:6" s="745" customFormat="1" x14ac:dyDescent="0.25">
      <c r="B146" s="745" t="str">
        <f>'CBS ($ per kW)'!D44</f>
        <v>Transport to Staging Site</v>
      </c>
      <c r="C146" s="464">
        <f>'CBS ($ per kW)'!J44</f>
        <v>82.574664150105477</v>
      </c>
      <c r="D146" s="464">
        <f>'CBS ($ per kW)'!L44</f>
        <v>82.574664150105477</v>
      </c>
      <c r="E146" s="464">
        <f>'CBS ($ per kW)'!N44</f>
        <v>82.574664150105477</v>
      </c>
      <c r="F146" s="464">
        <f>'CBS ($ per kW)'!P44</f>
        <v>82.574664150105477</v>
      </c>
    </row>
    <row r="147" spans="2:6" s="745" customFormat="1" x14ac:dyDescent="0.25">
      <c r="B147" s="745" t="str">
        <f>'CBS ($ per kW)'!D45</f>
        <v>Cable Shore Landing</v>
      </c>
      <c r="C147" s="877">
        <f>'CBS ($ per kW)'!J45</f>
        <v>1851.33784834018</v>
      </c>
      <c r="D147" s="877">
        <f>'CBS ($ per kW)'!L45</f>
        <v>212.94548684356613</v>
      </c>
      <c r="E147" s="877">
        <f>'CBS ($ per kW)'!N45</f>
        <v>42.589097368713226</v>
      </c>
      <c r="F147" s="877">
        <f>'CBS ($ per kW)'!P45</f>
        <v>42.577994892861106</v>
      </c>
    </row>
    <row r="148" spans="2:6" s="745" customFormat="1" x14ac:dyDescent="0.25">
      <c r="B148" s="745" t="str">
        <f>'CBS ($ per kW)'!D46</f>
        <v>Mooring/Foundation System</v>
      </c>
      <c r="C148" s="877">
        <f>'CBS ($ per kW)'!J46</f>
        <v>8864.8649661374493</v>
      </c>
      <c r="D148" s="877">
        <f>'CBS ($ per kW)'!L46</f>
        <v>1083.7566769056166</v>
      </c>
      <c r="E148" s="877">
        <f>'CBS ($ per kW)'!N46</f>
        <v>392.13726977782716</v>
      </c>
      <c r="F148" s="877">
        <f>'CBS ($ per kW)'!P46</f>
        <v>305.68484388685346</v>
      </c>
    </row>
    <row r="149" spans="2:6" s="745" customFormat="1" x14ac:dyDescent="0.25">
      <c r="B149" s="745" t="str">
        <f>'CBS ($ per kW)'!D47</f>
        <v>Cable Installation</v>
      </c>
      <c r="C149" s="877">
        <f>'CBS ($ per kW)'!J47</f>
        <v>4184.3393471744203</v>
      </c>
      <c r="D149" s="877">
        <f>'CBS ($ per kW)'!L47</f>
        <v>632.88681025868777</v>
      </c>
      <c r="E149" s="877">
        <f>'CBS ($ per kW)'!N47</f>
        <v>250.01746419451536</v>
      </c>
      <c r="F149" s="877">
        <f>'CBS ($ per kW)'!P47</f>
        <v>202.15879593649382</v>
      </c>
    </row>
    <row r="150" spans="2:6" s="745" customFormat="1" x14ac:dyDescent="0.25">
      <c r="B150" s="745" t="str">
        <f>'CBS ($ per kW)'!D48</f>
        <v>Device Installation</v>
      </c>
      <c r="C150" s="877">
        <f>'CBS ($ per kW)'!J48</f>
        <v>708.34489841234597</v>
      </c>
      <c r="D150" s="877">
        <f>'CBS ($ per kW)'!L48</f>
        <v>254.32302653491732</v>
      </c>
      <c r="E150" s="877">
        <f>'CBS ($ per kW)'!N48</f>
        <v>213.96552681247917</v>
      </c>
      <c r="F150" s="877">
        <f>'CBS ($ per kW)'!P48</f>
        <v>208.92083934717442</v>
      </c>
    </row>
    <row r="151" spans="2:6" s="745" customFormat="1" x14ac:dyDescent="0.25">
      <c r="B151" s="745" t="str">
        <f>'CBS ($ per kW)'!D49</f>
        <v>Device Commissioning</v>
      </c>
      <c r="C151" s="877">
        <f>'CBS ($ per kW)'!J49</f>
        <v>708.34489841234597</v>
      </c>
      <c r="D151" s="877">
        <f>'CBS ($ per kW)'!L49</f>
        <v>254.32302653491732</v>
      </c>
      <c r="E151" s="877">
        <f>'CBS ($ per kW)'!N49</f>
        <v>213.96552681247917</v>
      </c>
      <c r="F151" s="877">
        <f>'CBS ($ per kW)'!P49</f>
        <v>208.92083934717442</v>
      </c>
    </row>
    <row r="152" spans="2:6" s="745" customFormat="1" x14ac:dyDescent="0.25">
      <c r="C152" s="464">
        <f>SUM(C146:C151)</f>
        <v>16399.806622626846</v>
      </c>
      <c r="D152" s="464">
        <f t="shared" ref="D152:F152" si="16">SUM(D146:D151)</f>
        <v>2520.8096912278111</v>
      </c>
      <c r="E152" s="464">
        <f t="shared" si="16"/>
        <v>1195.2495491161196</v>
      </c>
      <c r="F152" s="464">
        <f t="shared" si="16"/>
        <v>1050.8379775606627</v>
      </c>
    </row>
    <row r="153" spans="2:6" s="745" customFormat="1" x14ac:dyDescent="0.25"/>
    <row r="154" spans="2:6" s="745" customFormat="1" x14ac:dyDescent="0.25"/>
    <row r="155" spans="2:6" s="745" customFormat="1" x14ac:dyDescent="0.25"/>
    <row r="156" spans="2:6" s="745" customFormat="1" x14ac:dyDescent="0.25"/>
    <row r="157" spans="2:6" s="745" customFormat="1" x14ac:dyDescent="0.25"/>
    <row r="158" spans="2:6" s="745" customFormat="1" x14ac:dyDescent="0.25"/>
    <row r="159" spans="2:6" s="745" customFormat="1" x14ac:dyDescent="0.25"/>
    <row r="160" spans="2:6" s="745" customFormat="1" x14ac:dyDescent="0.25"/>
    <row r="161" spans="2:16" s="745" customFormat="1" x14ac:dyDescent="0.25"/>
    <row r="162" spans="2:16" s="745" customFormat="1" x14ac:dyDescent="0.25"/>
    <row r="163" spans="2:16" s="745" customFormat="1" x14ac:dyDescent="0.25"/>
    <row r="164" spans="2:16" s="745" customFormat="1" x14ac:dyDescent="0.25"/>
    <row r="165" spans="2:16" s="745" customFormat="1" x14ac:dyDescent="0.25"/>
    <row r="166" spans="2:16" s="745" customFormat="1" x14ac:dyDescent="0.25"/>
    <row r="167" spans="2:16" s="745" customFormat="1" x14ac:dyDescent="0.25"/>
    <row r="168" spans="2:16" s="745" customFormat="1" x14ac:dyDescent="0.25">
      <c r="L168"/>
      <c r="M168"/>
      <c r="N168"/>
      <c r="O168"/>
      <c r="P168"/>
    </row>
    <row r="175" spans="2:16" x14ac:dyDescent="0.25">
      <c r="L175" s="745"/>
      <c r="M175" s="745"/>
      <c r="N175" s="745"/>
      <c r="O175" s="745"/>
      <c r="P175" s="745"/>
    </row>
    <row r="176" spans="2:16" s="745" customFormat="1" x14ac:dyDescent="0.25">
      <c r="B176" s="745" t="s">
        <v>754</v>
      </c>
    </row>
    <row r="177" spans="2:6" s="745" customFormat="1" x14ac:dyDescent="0.25">
      <c r="C177" s="745">
        <v>1</v>
      </c>
      <c r="D177" s="745">
        <v>10</v>
      </c>
      <c r="E177" s="745">
        <v>50</v>
      </c>
      <c r="F177" s="745">
        <v>100</v>
      </c>
    </row>
    <row r="178" spans="2:6" s="745" customFormat="1" x14ac:dyDescent="0.25">
      <c r="B178" s="745" t="s">
        <v>755</v>
      </c>
      <c r="C178" s="464">
        <f>'CBS ($ per kW)'!J57</f>
        <v>1290.6628178083713</v>
      </c>
      <c r="D178" s="464">
        <f>'CBS ($ per kW)'!L57</f>
        <v>578.71655379149558</v>
      </c>
      <c r="E178" s="464">
        <f>'CBS ($ per kW)'!N57</f>
        <v>99.089596980126572</v>
      </c>
      <c r="F178" s="464">
        <f>'CBS ($ per kW)'!P57</f>
        <v>49.544798490063286</v>
      </c>
    </row>
    <row r="179" spans="2:6" s="745" customFormat="1" x14ac:dyDescent="0.25">
      <c r="B179" s="745" t="str">
        <f>'CBS ($ per kW)'!C56</f>
        <v>Insurance</v>
      </c>
      <c r="C179" s="464">
        <f>'CBS ($ per kW)'!J56</f>
        <v>727.48687315698805</v>
      </c>
      <c r="D179" s="464">
        <f>'CBS ($ per kW)'!L56</f>
        <v>331.6189711846514</v>
      </c>
      <c r="E179" s="464">
        <f>'CBS ($ per kW)'!N56</f>
        <v>125.94503213218174</v>
      </c>
      <c r="F179" s="464">
        <f>'CBS ($ per kW)'!P56</f>
        <v>61.227863538205497</v>
      </c>
    </row>
    <row r="180" spans="2:6" s="745" customFormat="1" x14ac:dyDescent="0.25">
      <c r="B180" s="745" t="str">
        <f>'CBS ($ per kW)'!C58</f>
        <v>Marine Operations</v>
      </c>
      <c r="C180" s="464">
        <f>'CBS ($ per kW)'!J58</f>
        <v>210.35028311313425</v>
      </c>
      <c r="D180" s="464">
        <f>'CBS ($ per kW)'!L58</f>
        <v>210.35028311313425</v>
      </c>
      <c r="E180" s="464">
        <f>'CBS ($ per kW)'!N58</f>
        <v>34.289996669257242</v>
      </c>
      <c r="F180" s="464">
        <f>'CBS ($ per kW)'!P58</f>
        <v>34.289996669257242</v>
      </c>
    </row>
    <row r="181" spans="2:6" s="745" customFormat="1" x14ac:dyDescent="0.25">
      <c r="B181" s="745" t="str">
        <f>'CBS ($ per kW)'!C59</f>
        <v>Shoreside Operations</v>
      </c>
      <c r="C181" s="464">
        <f>'CBS ($ per kW)'!J59</f>
        <v>725.9936715887643</v>
      </c>
      <c r="D181" s="464">
        <f>'CBS ($ per kW)'!L59</f>
        <v>111.00699455978685</v>
      </c>
      <c r="E181" s="464">
        <f>'CBS ($ per kW)'!N59</f>
        <v>25.241034750749417</v>
      </c>
      <c r="F181" s="464">
        <f>'CBS ($ per kW)'!P59</f>
        <v>18.725269235039413</v>
      </c>
    </row>
    <row r="182" spans="2:6" s="745" customFormat="1" x14ac:dyDescent="0.25">
      <c r="B182" s="745" t="str">
        <f>'CBS ($ per kW)'!C60</f>
        <v>Replacement Parts</v>
      </c>
      <c r="C182" s="464">
        <f>'CBS ($ per kW)'!J60</f>
        <v>177.26732211150372</v>
      </c>
      <c r="D182" s="464">
        <f>'CBS ($ per kW)'!L60</f>
        <v>13.377677803215823</v>
      </c>
      <c r="E182" s="464">
        <f>'CBS ($ per kW)'!N60</f>
        <v>2.4122049309667566</v>
      </c>
      <c r="F182" s="464">
        <f>'CBS ($ per kW)'!P60</f>
        <v>1.1631177568847488</v>
      </c>
    </row>
    <row r="183" spans="2:6" s="745" customFormat="1" x14ac:dyDescent="0.25">
      <c r="B183" s="745" t="str">
        <f>'CBS ($ per kW)'!C61</f>
        <v>Consumables</v>
      </c>
      <c r="C183" s="464">
        <f>'CBS ($ per kW)'!J61</f>
        <v>37.470856000888197</v>
      </c>
      <c r="D183" s="464">
        <f>'CBS ($ per kW)'!L61</f>
        <v>37.470856000888197</v>
      </c>
      <c r="E183" s="464">
        <f>'CBS ($ per kW)'!N61</f>
        <v>37.470856000888197</v>
      </c>
      <c r="F183" s="464">
        <f>'CBS ($ per kW)'!P61</f>
        <v>37.470856000888197</v>
      </c>
    </row>
    <row r="184" spans="2:6" s="745" customFormat="1" x14ac:dyDescent="0.25"/>
    <row r="185" spans="2:6" s="745" customFormat="1" x14ac:dyDescent="0.25"/>
    <row r="186" spans="2:6" s="745" customFormat="1" x14ac:dyDescent="0.25"/>
    <row r="187" spans="2:6" s="745" customFormat="1" x14ac:dyDescent="0.25"/>
    <row r="188" spans="2:6" s="745" customFormat="1" x14ac:dyDescent="0.25"/>
    <row r="189" spans="2:6" s="745" customFormat="1" x14ac:dyDescent="0.25"/>
    <row r="190" spans="2:6" s="745" customFormat="1" x14ac:dyDescent="0.25"/>
    <row r="191" spans="2:6" s="745" customFormat="1" x14ac:dyDescent="0.25"/>
    <row r="192" spans="2:6" s="745" customFormat="1" x14ac:dyDescent="0.25"/>
    <row r="193" spans="2:16" s="745" customFormat="1" x14ac:dyDescent="0.25"/>
    <row r="194" spans="2:16" s="745" customFormat="1" x14ac:dyDescent="0.25"/>
    <row r="195" spans="2:16" s="745" customFormat="1" x14ac:dyDescent="0.25"/>
    <row r="196" spans="2:16" s="745" customFormat="1" x14ac:dyDescent="0.25"/>
    <row r="197" spans="2:16" s="745" customFormat="1" x14ac:dyDescent="0.25"/>
    <row r="198" spans="2:16" s="745" customFormat="1" x14ac:dyDescent="0.25"/>
    <row r="199" spans="2:16" s="745" customFormat="1" x14ac:dyDescent="0.25"/>
    <row r="200" spans="2:16" s="745" customFormat="1" x14ac:dyDescent="0.25"/>
    <row r="201" spans="2:16" s="745" customFormat="1" x14ac:dyDescent="0.25"/>
    <row r="202" spans="2:16" s="745" customFormat="1" x14ac:dyDescent="0.25"/>
    <row r="203" spans="2:16" s="745" customFormat="1" x14ac:dyDescent="0.25"/>
    <row r="204" spans="2:16" s="745" customFormat="1" x14ac:dyDescent="0.25"/>
    <row r="205" spans="2:16" s="745" customFormat="1" x14ac:dyDescent="0.25"/>
    <row r="206" spans="2:16" s="745" customFormat="1" x14ac:dyDescent="0.25">
      <c r="B206" s="745" t="s">
        <v>756</v>
      </c>
      <c r="L206" s="786"/>
      <c r="M206" s="790" t="s">
        <v>193</v>
      </c>
      <c r="N206" s="790" t="s">
        <v>758</v>
      </c>
    </row>
    <row r="207" spans="2:16" s="745" customFormat="1" x14ac:dyDescent="0.25">
      <c r="C207" s="745">
        <v>1</v>
      </c>
      <c r="D207" s="745">
        <v>10</v>
      </c>
      <c r="E207" s="745">
        <v>50</v>
      </c>
      <c r="F207" s="745">
        <v>100</v>
      </c>
      <c r="L207" s="784" t="str">
        <f>B212</f>
        <v>Development</v>
      </c>
      <c r="M207" s="788">
        <f>D212</f>
        <v>10.040592045044026</v>
      </c>
      <c r="N207" s="789">
        <f>M207/$M$212</f>
        <v>6.9716321343720911E-2</v>
      </c>
      <c r="O207"/>
      <c r="P207"/>
    </row>
    <row r="208" spans="2:16" x14ac:dyDescent="0.25">
      <c r="B208" s="745" t="s">
        <v>757</v>
      </c>
      <c r="C208" s="314">
        <f>'CBS (CoE)'!J56</f>
        <v>129.53735921069261</v>
      </c>
      <c r="D208" s="314">
        <f>'CBS (CoE)'!L56</f>
        <v>52.421857106230902</v>
      </c>
      <c r="E208" s="314">
        <f>'CBS (CoE)'!N56</f>
        <v>13.261330478384178</v>
      </c>
      <c r="F208" s="314">
        <f>'CBS (CoE)'!P56</f>
        <v>8.2736764141479799</v>
      </c>
      <c r="H208" s="314"/>
      <c r="J208" s="314"/>
      <c r="K208" s="745"/>
      <c r="L208" s="784" t="str">
        <f>B211</f>
        <v>Manufacturing &amp; Deployment</v>
      </c>
      <c r="M208" s="788">
        <f>D211</f>
        <v>69.362022342579166</v>
      </c>
      <c r="N208" s="789">
        <f t="shared" ref="N208:N211" si="17">M208/$M$212</f>
        <v>0.48161154411929852</v>
      </c>
    </row>
    <row r="209" spans="2:14" x14ac:dyDescent="0.25">
      <c r="B209" t="s">
        <v>142</v>
      </c>
      <c r="C209" s="314">
        <f>'CBS (CoE)'!J52</f>
        <v>20.90155852601638</v>
      </c>
      <c r="D209" s="314">
        <f>'CBS (CoE)'!L52</f>
        <v>8.3271657671965968</v>
      </c>
      <c r="E209" s="314">
        <f>'CBS (CoE)'!N52</f>
        <v>5.8115789219741236</v>
      </c>
      <c r="F209" s="314">
        <f>'CBS (CoE)'!P52</f>
        <v>5.5407335130740192</v>
      </c>
      <c r="H209" s="314"/>
      <c r="J209" s="314"/>
      <c r="K209" s="745"/>
      <c r="L209" s="784" t="str">
        <f>B210</f>
        <v>Subsystem Integration &amp; Profit Margin</v>
      </c>
      <c r="M209" s="788">
        <f>D210</f>
        <v>3.8690432843427858</v>
      </c>
      <c r="N209" s="789">
        <f t="shared" si="17"/>
        <v>2.6864497999114181E-2</v>
      </c>
    </row>
    <row r="210" spans="2:14" x14ac:dyDescent="0.25">
      <c r="B210" t="s">
        <v>71</v>
      </c>
      <c r="C210" s="314">
        <f>'CBS (CoE)'!J43</f>
        <v>5.4002070977121601</v>
      </c>
      <c r="D210" s="314">
        <f>'CBS (CoE)'!L43</f>
        <v>3.8690432843427858</v>
      </c>
      <c r="E210" s="314">
        <f>'CBS (CoE)'!N43</f>
        <v>3.4227703247878942</v>
      </c>
      <c r="F210" s="314">
        <f>'CBS (CoE)'!P43</f>
        <v>3.3141431332563736</v>
      </c>
      <c r="H210" s="314"/>
      <c r="J210" s="314"/>
      <c r="K210" s="745"/>
      <c r="L210" s="784" t="str">
        <f>B209</f>
        <v>Contingency</v>
      </c>
      <c r="M210" s="788">
        <f>D209</f>
        <v>8.3271657671965968</v>
      </c>
      <c r="N210" s="789">
        <f t="shared" si="17"/>
        <v>5.7819236346213353E-2</v>
      </c>
    </row>
    <row r="211" spans="2:14" x14ac:dyDescent="0.25">
      <c r="B211" t="s">
        <v>1031</v>
      </c>
      <c r="C211" s="314">
        <f>SUM('CBS (CoE)'!J44,'CBS (CoE)'!J32,'CBS (CoE)'!J25,'CBS (CoE)'!J20,'CBS (CoE)'!J14)</f>
        <v>155.24994738702435</v>
      </c>
      <c r="D211" s="314">
        <f>SUM('CBS (CoE)'!L44,'CBS (CoE)'!L32,'CBS (CoE)'!L25,'CBS (CoE)'!L20,'CBS (CoE)'!L14)</f>
        <v>69.362022342579166</v>
      </c>
      <c r="E211" s="314">
        <f>SUM('CBS (CoE)'!N44,'CBS (CoE)'!N32,'CBS (CoE)'!N25,'CBS (CoE)'!N20,'CBS (CoE)'!N14)</f>
        <v>52.201845362961848</v>
      </c>
      <c r="F211" s="314">
        <f>SUM('CBS (CoE)'!P44,'CBS (CoE)'!P32,'CBS (CoE)'!P25,'CBS (CoE)'!P20,'CBS (CoE)'!P14)</f>
        <v>50.769393486437195</v>
      </c>
      <c r="H211" s="314"/>
      <c r="J211" s="314"/>
      <c r="K211" s="745"/>
      <c r="L211" s="784" t="str">
        <f>B208</f>
        <v>O&amp;M</v>
      </c>
      <c r="M211" s="788">
        <f>D208</f>
        <v>52.421857106230902</v>
      </c>
      <c r="N211" s="789">
        <f t="shared" si="17"/>
        <v>0.36398840019165307</v>
      </c>
    </row>
    <row r="212" spans="2:14" x14ac:dyDescent="0.25">
      <c r="B212" t="s">
        <v>99</v>
      </c>
      <c r="C212" s="314">
        <f>'CBS (CoE)'!J6</f>
        <v>48.365430775427285</v>
      </c>
      <c r="D212" s="314">
        <f>'CBS (CoE)'!L6</f>
        <v>10.040592045044026</v>
      </c>
      <c r="E212" s="314">
        <f>'CBS (CoE)'!N6</f>
        <v>2.4911735319915005</v>
      </c>
      <c r="F212" s="314">
        <f>'CBS (CoE)'!P6</f>
        <v>1.3237985110466268</v>
      </c>
      <c r="H212" s="314"/>
      <c r="J212" s="314"/>
      <c r="K212" s="745"/>
      <c r="L212" s="787" t="s">
        <v>80</v>
      </c>
      <c r="M212" s="788">
        <f>SUM(M207:M211)</f>
        <v>144.02068054539347</v>
      </c>
      <c r="N212" s="789">
        <f>SUM(N207:N211)</f>
        <v>1</v>
      </c>
    </row>
    <row r="213" spans="2:14" x14ac:dyDescent="0.25">
      <c r="C213" s="314"/>
      <c r="D213" s="314"/>
      <c r="E213" s="314"/>
      <c r="F213" s="314"/>
    </row>
    <row r="214" spans="2:14" x14ac:dyDescent="0.25">
      <c r="C214" s="314">
        <f>SUM(C208:C212)</f>
        <v>359.45450299687275</v>
      </c>
      <c r="D214" s="314">
        <f>SUM(D208:D212)</f>
        <v>144.02068054539347</v>
      </c>
      <c r="E214" s="314">
        <f>SUM(E208:E212)</f>
        <v>77.188698620099558</v>
      </c>
      <c r="F214" s="314">
        <f>SUM(F208:F212)</f>
        <v>69.221745057962195</v>
      </c>
    </row>
    <row r="225" spans="2:16" x14ac:dyDescent="0.25">
      <c r="L225" s="745"/>
      <c r="M225" s="745"/>
      <c r="N225" s="745"/>
      <c r="O225" s="745"/>
      <c r="P225" s="745"/>
    </row>
    <row r="226" spans="2:16" s="745" customFormat="1" x14ac:dyDescent="0.25"/>
    <row r="227" spans="2:16" s="745" customFormat="1" x14ac:dyDescent="0.25"/>
    <row r="228" spans="2:16" s="745" customFormat="1" x14ac:dyDescent="0.25"/>
    <row r="229" spans="2:16" s="745" customFormat="1" x14ac:dyDescent="0.25"/>
    <row r="230" spans="2:16" s="745" customFormat="1" x14ac:dyDescent="0.25"/>
    <row r="231" spans="2:16" s="745" customFormat="1" x14ac:dyDescent="0.25"/>
    <row r="232" spans="2:16" s="745" customFormat="1" x14ac:dyDescent="0.25"/>
    <row r="233" spans="2:16" s="745" customFormat="1" x14ac:dyDescent="0.25"/>
    <row r="234" spans="2:16" s="745" customFormat="1" x14ac:dyDescent="0.25"/>
    <row r="235" spans="2:16" s="745" customFormat="1" x14ac:dyDescent="0.25"/>
    <row r="236" spans="2:16" s="745" customFormat="1" x14ac:dyDescent="0.25"/>
    <row r="237" spans="2:16" s="745" customFormat="1" x14ac:dyDescent="0.25">
      <c r="B237" s="745" t="s">
        <v>759</v>
      </c>
      <c r="L237" s="791"/>
      <c r="M237" s="792" t="s">
        <v>193</v>
      </c>
      <c r="N237" s="792" t="s">
        <v>762</v>
      </c>
    </row>
    <row r="238" spans="2:16" s="745" customFormat="1" x14ac:dyDescent="0.25">
      <c r="C238" s="745">
        <v>1</v>
      </c>
      <c r="D238" s="745">
        <v>10</v>
      </c>
      <c r="E238" s="745">
        <v>50</v>
      </c>
      <c r="F238" s="745">
        <v>100</v>
      </c>
      <c r="L238" s="784" t="s">
        <v>761</v>
      </c>
      <c r="M238" s="788">
        <f>D248</f>
        <v>2.4253880875329896</v>
      </c>
      <c r="N238" s="789">
        <f>M238/$M$248</f>
        <v>2.6478375992939101E-2</v>
      </c>
    </row>
    <row r="239" spans="2:16" s="745" customFormat="1" x14ac:dyDescent="0.25">
      <c r="B239" s="745" t="str">
        <f>'CBS (CoE)'!C52</f>
        <v>Contingency</v>
      </c>
      <c r="C239" s="314">
        <f>'CBS (CoE)'!J52</f>
        <v>20.90155852601638</v>
      </c>
      <c r="D239" s="314">
        <f>'CBS (CoE)'!L52</f>
        <v>8.3271657671965968</v>
      </c>
      <c r="E239" s="314">
        <f>'CBS (CoE)'!N52</f>
        <v>5.8115789219741236</v>
      </c>
      <c r="F239" s="314">
        <f>'CBS (CoE)'!P52</f>
        <v>5.5407335130740192</v>
      </c>
      <c r="H239" s="314"/>
      <c r="J239" s="314"/>
      <c r="L239" s="784" t="str">
        <f>B247</f>
        <v>Site Assessment</v>
      </c>
      <c r="M239" s="788">
        <f>D247</f>
        <v>0.36048172916358245</v>
      </c>
      <c r="N239" s="789">
        <f t="shared" ref="N239:N247" si="18">M239/$M$248</f>
        <v>3.9354406053370818E-3</v>
      </c>
    </row>
    <row r="240" spans="2:16" s="745" customFormat="1" x14ac:dyDescent="0.25">
      <c r="B240" s="745" t="str">
        <f>'CBS (CoE)'!C43</f>
        <v>Subsystem Integration &amp; Profit Margin</v>
      </c>
      <c r="C240" s="314">
        <f>'CBS (CoE)'!J43</f>
        <v>5.4002070977121601</v>
      </c>
      <c r="D240" s="314">
        <f>'CBS (CoE)'!L43</f>
        <v>3.8690432843427858</v>
      </c>
      <c r="E240" s="314">
        <f>'CBS (CoE)'!N43</f>
        <v>3.4227703247878942</v>
      </c>
      <c r="F240" s="314">
        <f>'CBS (CoE)'!P43</f>
        <v>3.3141431332563736</v>
      </c>
      <c r="H240" s="314"/>
      <c r="J240" s="314"/>
      <c r="L240" s="784" t="str">
        <f>B246</f>
        <v>Permitting and Environmental Compliance</v>
      </c>
      <c r="M240" s="788">
        <f>D246</f>
        <v>7.2547222283474557</v>
      </c>
      <c r="N240" s="789">
        <f t="shared" si="18"/>
        <v>7.9201041628726196E-2</v>
      </c>
    </row>
    <row r="241" spans="2:16" s="745" customFormat="1" x14ac:dyDescent="0.25">
      <c r="B241" s="745" t="str">
        <f>'CBS (CoE)'!C44</f>
        <v>Installation</v>
      </c>
      <c r="C241" s="314">
        <f>'CBS (CoE)'!J44</f>
        <v>72.43103799279875</v>
      </c>
      <c r="D241" s="314">
        <f>'CBS (CoE)'!L44</f>
        <v>11.133354601024632</v>
      </c>
      <c r="E241" s="314">
        <f>'CBS (CoE)'!N44</f>
        <v>5.2789138003286</v>
      </c>
      <c r="F241" s="314">
        <f>'CBS (CoE)'!P44</f>
        <v>4.641108717218561</v>
      </c>
      <c r="H241" s="314"/>
      <c r="J241" s="314"/>
      <c r="L241" s="784" t="str">
        <f>B245</f>
        <v>Infrastructure</v>
      </c>
      <c r="M241" s="788">
        <f>D245</f>
        <v>9.3264492587474557</v>
      </c>
      <c r="N241" s="789">
        <f t="shared" si="18"/>
        <v>0.10181843945781495</v>
      </c>
    </row>
    <row r="242" spans="2:16" s="745" customFormat="1" x14ac:dyDescent="0.25">
      <c r="B242" s="745" t="s">
        <v>760</v>
      </c>
      <c r="C242" s="314">
        <f>'CBS (CoE)'!J32</f>
        <v>7.2099013193420989</v>
      </c>
      <c r="D242" s="314">
        <f>'CBS (CoE)'!L32</f>
        <v>5.7902528396430935</v>
      </c>
      <c r="E242" s="314">
        <f>'CBS (CoE)'!N32</f>
        <v>5.0834164607721366</v>
      </c>
      <c r="F242" s="314">
        <f>'CBS (CoE)'!P32</f>
        <v>4.8277747760683987</v>
      </c>
      <c r="H242" s="314"/>
      <c r="J242" s="314"/>
      <c r="L242" s="784" t="str">
        <f>B244</f>
        <v>Mooring/Foundation</v>
      </c>
      <c r="M242" s="788">
        <f>D244</f>
        <v>10.211785639379226</v>
      </c>
      <c r="N242" s="789">
        <f t="shared" si="18"/>
        <v>0.11148380793517085</v>
      </c>
    </row>
    <row r="243" spans="2:16" s="745" customFormat="1" x14ac:dyDescent="0.25">
      <c r="B243" s="745" t="str">
        <f>'CBS (CoE)'!C25</f>
        <v>Device Structural Components</v>
      </c>
      <c r="C243" s="314">
        <f>'CBS (CoE)'!J25</f>
        <v>46.792169657779496</v>
      </c>
      <c r="D243" s="314">
        <f>'CBS (CoE)'!L25</f>
        <v>32.900180003784762</v>
      </c>
      <c r="E243" s="314">
        <f>'CBS (CoE)'!N25</f>
        <v>29.144286787106807</v>
      </c>
      <c r="F243" s="314">
        <f>'CBS (CoE)'!P25</f>
        <v>28.313656556495335</v>
      </c>
      <c r="H243" s="314"/>
      <c r="J243" s="314"/>
      <c r="L243" s="784" t="str">
        <f>B243</f>
        <v>Device Structural Components</v>
      </c>
      <c r="M243" s="788">
        <f>D243</f>
        <v>32.900180003784762</v>
      </c>
      <c r="N243" s="789">
        <f t="shared" si="18"/>
        <v>0.35917688424935018</v>
      </c>
      <c r="O243"/>
      <c r="P243"/>
    </row>
    <row r="244" spans="2:16" x14ac:dyDescent="0.25">
      <c r="B244" t="str">
        <f>'CBS (CoE)'!C20</f>
        <v>Mooring/Foundation</v>
      </c>
      <c r="C244" s="314">
        <f>'CBS (CoE)'!J20</f>
        <v>15.494039975454758</v>
      </c>
      <c r="D244" s="314">
        <f>'CBS (CoE)'!L20</f>
        <v>10.211785639379226</v>
      </c>
      <c r="E244" s="314">
        <f>'CBS (CoE)'!N20</f>
        <v>9.21717865164727</v>
      </c>
      <c r="F244" s="314">
        <f>'CBS (CoE)'!P20</f>
        <v>8.918177688786491</v>
      </c>
      <c r="H244" s="314"/>
      <c r="J244" s="314"/>
      <c r="K244" s="745"/>
      <c r="L244" s="784" t="str">
        <f>B242</f>
        <v>PCC</v>
      </c>
      <c r="M244" s="788">
        <f>D242</f>
        <v>5.7902528396430935</v>
      </c>
      <c r="N244" s="789">
        <f t="shared" si="18"/>
        <v>6.3213179189892332E-2</v>
      </c>
    </row>
    <row r="245" spans="2:16" x14ac:dyDescent="0.25">
      <c r="B245" t="str">
        <f>'CBS (CoE)'!C14</f>
        <v>Infrastructure</v>
      </c>
      <c r="C245" s="314">
        <f>'CBS (CoE)'!J14</f>
        <v>13.32279844164923</v>
      </c>
      <c r="D245" s="314">
        <f>'CBS (CoE)'!L14</f>
        <v>9.3264492587474557</v>
      </c>
      <c r="E245" s="314">
        <f>'CBS (CoE)'!N14</f>
        <v>3.4780496631070292</v>
      </c>
      <c r="F245" s="314">
        <f>'CBS (CoE)'!P14</f>
        <v>4.0686757478684017</v>
      </c>
      <c r="H245" s="314"/>
      <c r="J245" s="314"/>
      <c r="K245" s="745"/>
      <c r="L245" s="784" t="str">
        <f>B241</f>
        <v>Installation</v>
      </c>
      <c r="M245" s="788">
        <f>D241</f>
        <v>11.133354601024632</v>
      </c>
      <c r="N245" s="789">
        <f t="shared" si="18"/>
        <v>0.12154473368775419</v>
      </c>
    </row>
    <row r="246" spans="2:16" x14ac:dyDescent="0.25">
      <c r="B246" t="str">
        <f>'CBS (CoE)'!D7</f>
        <v>Permitting and Environmental Compliance</v>
      </c>
      <c r="C246" s="314">
        <f>'CBS (CoE)'!J7</f>
        <v>36.034565715152652</v>
      </c>
      <c r="D246" s="314">
        <f>'CBS (CoE)'!L7</f>
        <v>7.2547222283474557</v>
      </c>
      <c r="E246" s="314">
        <f>'CBS (CoE)'!N7</f>
        <v>1.3914895575189585</v>
      </c>
      <c r="F246" s="314">
        <f>'CBS (CoE)'!P7</f>
        <v>0.69574477875947927</v>
      </c>
      <c r="H246" s="314"/>
      <c r="J246" s="314"/>
      <c r="K246" s="745"/>
      <c r="L246" s="784" t="str">
        <f>B240</f>
        <v>Subsystem Integration &amp; Profit Margin</v>
      </c>
      <c r="M246" s="788">
        <f>D240</f>
        <v>3.8690432843427858</v>
      </c>
      <c r="N246" s="789">
        <f t="shared" si="18"/>
        <v>4.223900634392426E-2</v>
      </c>
    </row>
    <row r="247" spans="2:16" x14ac:dyDescent="0.25">
      <c r="B247" t="str">
        <f>'CBS (CoE)'!D12</f>
        <v>Site Assessment</v>
      </c>
      <c r="C247" s="314">
        <f>'CBS (CoE)'!J12</f>
        <v>2.3777419526477819</v>
      </c>
      <c r="D247" s="314">
        <f>'CBS (CoE)'!L12</f>
        <v>0.36048172916358245</v>
      </c>
      <c r="E247" s="314">
        <f>'CBS (CoE)'!N12</f>
        <v>7.2096345832716485E-2</v>
      </c>
      <c r="F247" s="314">
        <f>'CBS (CoE)'!P12</f>
        <v>3.6048172916358243E-2</v>
      </c>
      <c r="H247" s="314"/>
      <c r="J247" s="314"/>
      <c r="K247" s="745"/>
      <c r="L247" s="784" t="str">
        <f>B239</f>
        <v>Contingency</v>
      </c>
      <c r="M247" s="788">
        <f>D239</f>
        <v>8.3271657671965968</v>
      </c>
      <c r="N247" s="789">
        <f t="shared" si="18"/>
        <v>9.0909090909090898E-2</v>
      </c>
    </row>
    <row r="248" spans="2:16" x14ac:dyDescent="0.25">
      <c r="B248" t="str">
        <f>'CBS (CoE)'!D13</f>
        <v>Project Design, Engineering, and Management</v>
      </c>
      <c r="C248" s="314">
        <f>'CBS (CoE)'!J13</f>
        <v>9.9531231076268476</v>
      </c>
      <c r="D248" s="314">
        <f>'CBS (CoE)'!L13</f>
        <v>2.4253880875329896</v>
      </c>
      <c r="E248" s="314">
        <f>'CBS (CoE)'!N13</f>
        <v>1.0275876286398253</v>
      </c>
      <c r="F248" s="314">
        <f>'CBS (CoE)'!P13</f>
        <v>0.59200555937078947</v>
      </c>
      <c r="H248" s="314"/>
      <c r="J248" s="314"/>
      <c r="K248" s="745"/>
      <c r="L248" s="787" t="s">
        <v>509</v>
      </c>
      <c r="M248" s="788">
        <f>SUM(M238:M247)</f>
        <v>91.598823439162572</v>
      </c>
      <c r="N248" s="789">
        <f>SUM(N238:N247)</f>
        <v>1</v>
      </c>
    </row>
    <row r="249" spans="2:16" x14ac:dyDescent="0.25">
      <c r="C249" s="314"/>
      <c r="D249" s="314"/>
      <c r="E249" s="314"/>
      <c r="F249" s="314"/>
    </row>
    <row r="250" spans="2:16" x14ac:dyDescent="0.25">
      <c r="C250" s="314">
        <f>SUM(C239:C248)</f>
        <v>229.91714378618022</v>
      </c>
      <c r="D250" s="314">
        <f t="shared" ref="D250:F250" si="19">SUM(D239:D248)</f>
        <v>91.598823439162587</v>
      </c>
      <c r="E250" s="314">
        <f t="shared" si="19"/>
        <v>63.927368141715363</v>
      </c>
      <c r="F250" s="314">
        <f t="shared" si="19"/>
        <v>60.94806864381421</v>
      </c>
    </row>
    <row r="278" spans="2:14" x14ac:dyDescent="0.25">
      <c r="B278" t="s">
        <v>763</v>
      </c>
      <c r="L278" s="785"/>
      <c r="M278" s="790" t="s">
        <v>193</v>
      </c>
      <c r="N278" s="790" t="s">
        <v>765</v>
      </c>
    </row>
    <row r="279" spans="2:14" x14ac:dyDescent="0.25">
      <c r="C279">
        <v>1</v>
      </c>
      <c r="D279">
        <v>10</v>
      </c>
      <c r="E279">
        <v>50</v>
      </c>
      <c r="F279">
        <v>100</v>
      </c>
      <c r="L279" s="784" t="str">
        <f>B285</f>
        <v>Marine Operations</v>
      </c>
      <c r="M279" s="794">
        <f>D285</f>
        <v>8.5977365174884977</v>
      </c>
      <c r="N279" s="789">
        <f>M279/$M$285</f>
        <v>0.16401052904450736</v>
      </c>
    </row>
    <row r="280" spans="2:14" x14ac:dyDescent="0.25">
      <c r="B280" t="s">
        <v>764</v>
      </c>
      <c r="C280" s="314">
        <f>'CBS (CoE)'!J58</f>
        <v>52.753809865173196</v>
      </c>
      <c r="D280" s="314">
        <f>'CBS (CoE)'!L58</f>
        <v>23.654127649222822</v>
      </c>
      <c r="E280" s="314">
        <f>'CBS (CoE)'!N58</f>
        <v>4.0501312090036201</v>
      </c>
      <c r="F280" s="314">
        <f>'CBS (CoE)'!P58</f>
        <v>2.0250656045018101</v>
      </c>
      <c r="H280" s="745"/>
      <c r="J280" s="745"/>
      <c r="K280" s="745"/>
      <c r="L280" s="784" t="str">
        <f>B284</f>
        <v>Shoreside Operations</v>
      </c>
      <c r="M280" s="794">
        <f>D284</f>
        <v>4.5372360649973995</v>
      </c>
      <c r="N280" s="789">
        <f t="shared" ref="N280:N284" si="20">M280/$M$285</f>
        <v>8.6552371767426375E-2</v>
      </c>
    </row>
    <row r="281" spans="2:14" x14ac:dyDescent="0.25">
      <c r="B281" t="str">
        <f>'CBS (CoE)'!C57</f>
        <v>Insurance</v>
      </c>
      <c r="C281" s="314">
        <f>'CBS (CoE)'!J57</f>
        <v>29.734880137866629</v>
      </c>
      <c r="D281" s="314">
        <f>'CBS (CoE)'!L57</f>
        <v>13.554403142461073</v>
      </c>
      <c r="E281" s="314">
        <f>'CBS (CoE)'!N57</f>
        <v>5.1478048231422067</v>
      </c>
      <c r="F281" s="314">
        <f>'CBS (CoE)'!P57</f>
        <v>2.5025924873469414</v>
      </c>
      <c r="H281" s="745"/>
      <c r="J281" s="745"/>
      <c r="K281" s="745"/>
      <c r="L281" s="784" t="str">
        <f>B283</f>
        <v>Replacement Parts</v>
      </c>
      <c r="M281" s="794">
        <f>D283</f>
        <v>0.54679151016898386</v>
      </c>
      <c r="N281" s="789">
        <f t="shared" si="20"/>
        <v>1.0430601667944187E-2</v>
      </c>
    </row>
    <row r="282" spans="2:14" x14ac:dyDescent="0.25">
      <c r="B282" t="str">
        <f>'CBS (CoE)'!C62</f>
        <v>Consumables</v>
      </c>
      <c r="C282" s="314">
        <f>'CBS (CoE)'!J62</f>
        <v>1.5315622218921252</v>
      </c>
      <c r="D282" s="314">
        <f>'CBS (CoE)'!L62</f>
        <v>1.5315622218921254</v>
      </c>
      <c r="E282" s="314">
        <f>'CBS (CoE)'!N62</f>
        <v>1.5315622218921252</v>
      </c>
      <c r="F282" s="314">
        <f>'CBS (CoE)'!P62</f>
        <v>1.5315622218921252</v>
      </c>
      <c r="H282" s="745"/>
      <c r="J282" s="745"/>
      <c r="K282" s="745"/>
      <c r="L282" s="784" t="str">
        <f>B282</f>
        <v>Consumables</v>
      </c>
      <c r="M282" s="794">
        <f>D282</f>
        <v>1.5315622218921254</v>
      </c>
      <c r="N282" s="789">
        <f t="shared" si="20"/>
        <v>2.9216100047514012E-2</v>
      </c>
    </row>
    <row r="283" spans="2:14" x14ac:dyDescent="0.25">
      <c r="B283" t="str">
        <f>'CBS (CoE)'!C61</f>
        <v>Replacement Parts</v>
      </c>
      <c r="C283" s="314">
        <f>'CBS (CoE)'!J61</f>
        <v>7.2455225926924696</v>
      </c>
      <c r="D283" s="314">
        <f>'CBS (CoE)'!L61</f>
        <v>0.54679151016898386</v>
      </c>
      <c r="E283" s="314">
        <f>'CBS (CoE)'!N61</f>
        <v>9.8595077295352274E-2</v>
      </c>
      <c r="F283" s="314">
        <f>'CBS (CoE)'!P61</f>
        <v>4.7540606385249512E-2</v>
      </c>
      <c r="H283" s="745"/>
      <c r="J283" s="745"/>
      <c r="K283" s="745"/>
      <c r="L283" s="784" t="str">
        <f>B281</f>
        <v>Insurance</v>
      </c>
      <c r="M283" s="794">
        <f>D281</f>
        <v>13.554403142461073</v>
      </c>
      <c r="N283" s="789">
        <f t="shared" si="20"/>
        <v>0.25856396340544729</v>
      </c>
    </row>
    <row r="284" spans="2:14" x14ac:dyDescent="0.25">
      <c r="B284" t="str">
        <f>'CBS (CoE)'!C60</f>
        <v>Shoreside Operations</v>
      </c>
      <c r="C284" s="314">
        <f>'CBS (CoE)'!J60</f>
        <v>29.673847875579714</v>
      </c>
      <c r="D284" s="314">
        <f>'CBS (CoE)'!L60</f>
        <v>4.5372360649973995</v>
      </c>
      <c r="E284" s="314">
        <f>'CBS (CoE)'!N60</f>
        <v>1.0316875404393691</v>
      </c>
      <c r="F284" s="314">
        <f>'CBS (CoE)'!P60</f>
        <v>0.76536588741034961</v>
      </c>
      <c r="H284" s="745"/>
      <c r="J284" s="745"/>
      <c r="K284" s="745"/>
      <c r="L284" s="784" t="str">
        <f>B280</f>
        <v>Post-Installation Environmental Monitoring</v>
      </c>
      <c r="M284" s="794">
        <f>D280</f>
        <v>23.654127649222822</v>
      </c>
      <c r="N284" s="789">
        <f t="shared" si="20"/>
        <v>0.45122643406716079</v>
      </c>
    </row>
    <row r="285" spans="2:14" x14ac:dyDescent="0.25">
      <c r="B285" t="str">
        <f>'CBS (CoE)'!C59</f>
        <v>Marine Operations</v>
      </c>
      <c r="C285" s="314">
        <f>'CBS (CoE)'!J59</f>
        <v>8.5977365174884959</v>
      </c>
      <c r="D285" s="314">
        <f>'CBS (CoE)'!L59</f>
        <v>8.5977365174884977</v>
      </c>
      <c r="E285" s="314">
        <f>'CBS (CoE)'!N59</f>
        <v>1.4015496066115047</v>
      </c>
      <c r="F285" s="314">
        <f>'CBS (CoE)'!P59</f>
        <v>1.4015496066115047</v>
      </c>
      <c r="H285" s="745"/>
      <c r="J285" s="745"/>
      <c r="K285" s="745"/>
      <c r="L285" s="787" t="s">
        <v>80</v>
      </c>
      <c r="M285" s="794">
        <f>SUM(M279:M284)</f>
        <v>52.421857106230902</v>
      </c>
      <c r="N285" s="789">
        <f>SUM(N279:N284)</f>
        <v>1</v>
      </c>
    </row>
    <row r="286" spans="2:14" x14ac:dyDescent="0.25">
      <c r="C286" s="314">
        <f>SUM(C280:C285)</f>
        <v>129.53735921069261</v>
      </c>
      <c r="D286" s="314">
        <f t="shared" ref="D286:F286" si="21">SUM(D280:D285)</f>
        <v>52.42185710623091</v>
      </c>
      <c r="E286" s="314">
        <f t="shared" si="21"/>
        <v>13.261330478384178</v>
      </c>
      <c r="F286" s="314">
        <f t="shared" si="21"/>
        <v>8.2736764141479799</v>
      </c>
    </row>
    <row r="308" spans="2:11" x14ac:dyDescent="0.25">
      <c r="B308" s="768" t="s">
        <v>727</v>
      </c>
      <c r="C308" s="71"/>
      <c r="D308" s="71"/>
      <c r="E308" s="71"/>
      <c r="F308" s="769"/>
    </row>
    <row r="309" spans="2:11" x14ac:dyDescent="0.25">
      <c r="B309" s="696"/>
      <c r="C309" s="479">
        <v>1</v>
      </c>
      <c r="D309" s="479">
        <v>10</v>
      </c>
      <c r="E309" s="479">
        <v>50</v>
      </c>
      <c r="F309" s="698">
        <v>100</v>
      </c>
    </row>
    <row r="310" spans="2:11" ht="14.45" x14ac:dyDescent="0.3">
      <c r="B310" s="696" t="str">
        <f>'CBS (CoE)'!C6</f>
        <v>Development</v>
      </c>
      <c r="C310" s="25">
        <f>'CBS (CoE)'!J6/100</f>
        <v>0.48365430775427287</v>
      </c>
      <c r="D310" s="25">
        <f>'CBS (CoE)'!L6/100</f>
        <v>0.10040592045044025</v>
      </c>
      <c r="E310" s="25">
        <f>'CBS (CoE)'!N6/100</f>
        <v>2.4911735319915005E-2</v>
      </c>
      <c r="F310" s="25">
        <f>'CBS (CoE)'!P6/100</f>
        <v>1.3237985110466269E-2</v>
      </c>
      <c r="H310" s="25"/>
      <c r="J310" s="25"/>
    </row>
    <row r="311" spans="2:11" ht="14.45" x14ac:dyDescent="0.3">
      <c r="B311" s="696" t="str">
        <f>'CBS (CoE)'!C14</f>
        <v>Infrastructure</v>
      </c>
      <c r="C311" s="25">
        <f>'CBS (CoE)'!J14/100</f>
        <v>0.13322798441649231</v>
      </c>
      <c r="D311" s="25">
        <f>'CBS (CoE)'!L14/100</f>
        <v>9.326449258747456E-2</v>
      </c>
      <c r="E311" s="25">
        <f>'CBS (CoE)'!N14/100</f>
        <v>3.4780496631070294E-2</v>
      </c>
      <c r="F311" s="25">
        <f>'CBS (CoE)'!P14/100</f>
        <v>4.068675747868402E-2</v>
      </c>
      <c r="H311" s="25"/>
      <c r="J311" s="25"/>
    </row>
    <row r="312" spans="2:11" x14ac:dyDescent="0.25">
      <c r="B312" s="696" t="str">
        <f>'CBS (CoE)'!C20</f>
        <v>Mooring/Foundation</v>
      </c>
      <c r="C312" s="25">
        <f>'CBS (CoE)'!J20/100</f>
        <v>0.15494039975454757</v>
      </c>
      <c r="D312" s="25">
        <f>'CBS (CoE)'!L20/100</f>
        <v>0.10211785639379226</v>
      </c>
      <c r="E312" s="25">
        <f>'CBS (CoE)'!N20/100</f>
        <v>9.2171786516472703E-2</v>
      </c>
      <c r="F312" s="25">
        <f>'CBS (CoE)'!P20/100</f>
        <v>8.9181776887864911E-2</v>
      </c>
      <c r="H312" s="25"/>
      <c r="J312" s="25"/>
    </row>
    <row r="313" spans="2:11" x14ac:dyDescent="0.25">
      <c r="B313" s="696" t="str">
        <f>'CBS (Total)'!C23</f>
        <v>Device Structural Components</v>
      </c>
      <c r="C313" s="25">
        <f>'CBS (CoE)'!J25/100</f>
        <v>0.46792169657779498</v>
      </c>
      <c r="D313" s="25">
        <f>'CBS (CoE)'!L25/100</f>
        <v>0.32900180003784762</v>
      </c>
      <c r="E313" s="25">
        <f>'CBS (CoE)'!N25/100</f>
        <v>0.2914428678710681</v>
      </c>
      <c r="F313" s="25">
        <f>'CBS (CoE)'!P25/100</f>
        <v>0.28313656556495337</v>
      </c>
      <c r="H313" s="25"/>
      <c r="J313" s="25"/>
    </row>
    <row r="314" spans="2:11" x14ac:dyDescent="0.25">
      <c r="B314" s="696" t="s">
        <v>760</v>
      </c>
      <c r="C314" s="25">
        <f>'CBS (CoE)'!J32/100</f>
        <v>7.2099013193420991E-2</v>
      </c>
      <c r="D314" s="25">
        <f>'CBS (CoE)'!L32/100</f>
        <v>5.7902528396430931E-2</v>
      </c>
      <c r="E314" s="25">
        <f>'CBS (CoE)'!N32/100</f>
        <v>5.0834164607721367E-2</v>
      </c>
      <c r="F314" s="25">
        <f>'CBS (CoE)'!P32/100</f>
        <v>4.8277747760683984E-2</v>
      </c>
      <c r="H314" s="25"/>
      <c r="J314" s="25"/>
    </row>
    <row r="315" spans="2:11" x14ac:dyDescent="0.25">
      <c r="B315" s="696" t="str">
        <f>'CBS (Total)'!C41</f>
        <v>Subsystem Integration &amp; Profit Margin</v>
      </c>
      <c r="C315" s="25">
        <f>'CBS (CoE)'!J43/100</f>
        <v>5.4002070977121598E-2</v>
      </c>
      <c r="D315" s="25">
        <f>'CBS (CoE)'!L43/100</f>
        <v>3.8690432843427859E-2</v>
      </c>
      <c r="E315" s="25">
        <f>'CBS (CoE)'!N43/100</f>
        <v>3.4227703247878945E-2</v>
      </c>
      <c r="F315" s="25">
        <f>'CBS (CoE)'!P43/100</f>
        <v>3.3141431332563732E-2</v>
      </c>
      <c r="H315" s="25"/>
      <c r="J315" s="25"/>
    </row>
    <row r="316" spans="2:11" x14ac:dyDescent="0.25">
      <c r="B316" s="696" t="str">
        <f>'CBS (Total)'!C42</f>
        <v>Installation</v>
      </c>
      <c r="C316" s="25">
        <f>'CBS (CoE)'!J44/100</f>
        <v>0.72431037992798752</v>
      </c>
      <c r="D316" s="25">
        <f>'CBS (CoE)'!L44/100</f>
        <v>0.11133354601024631</v>
      </c>
      <c r="E316" s="25">
        <f>'CBS (CoE)'!N44/100</f>
        <v>5.2789138003286003E-2</v>
      </c>
      <c r="F316" s="25">
        <f>'CBS (CoE)'!P44/100</f>
        <v>4.641108717218561E-2</v>
      </c>
      <c r="H316" s="25"/>
      <c r="J316" s="25"/>
    </row>
    <row r="317" spans="2:11" x14ac:dyDescent="0.25">
      <c r="B317" s="696" t="str">
        <f>'CBS (Total)'!C50</f>
        <v>Contingency</v>
      </c>
      <c r="C317" s="25">
        <f>'CBS (CoE)'!J52/100</f>
        <v>0.20901558526016381</v>
      </c>
      <c r="D317" s="25">
        <f>'CBS (CoE)'!L52/100</f>
        <v>8.3271657671965968E-2</v>
      </c>
      <c r="E317" s="25">
        <f>'CBS (CoE)'!N52/100</f>
        <v>5.8115789219741233E-2</v>
      </c>
      <c r="F317" s="25">
        <f>'CBS (CoE)'!P52/100</f>
        <v>5.5407335130740192E-2</v>
      </c>
      <c r="H317" s="25"/>
      <c r="J317" s="25"/>
    </row>
    <row r="318" spans="2:11" x14ac:dyDescent="0.25">
      <c r="B318" s="696" t="str">
        <f>'CBS (CoE)'!B56</f>
        <v>Annualized OPEX</v>
      </c>
      <c r="C318" s="25">
        <f>'CBS (CoE)'!J56/100</f>
        <v>1.295373592106926</v>
      </c>
      <c r="D318" s="25">
        <f>'CBS (CoE)'!L56/100</f>
        <v>0.52421857106230907</v>
      </c>
      <c r="E318" s="25">
        <f>'CBS (CoE)'!N56/100</f>
        <v>0.13261330478384178</v>
      </c>
      <c r="F318" s="25">
        <f>'CBS (CoE)'!P56/100</f>
        <v>8.2736764141479804E-2</v>
      </c>
      <c r="H318" s="25"/>
      <c r="J318" s="25"/>
    </row>
    <row r="319" spans="2:11" x14ac:dyDescent="0.25">
      <c r="B319" s="700" t="s">
        <v>80</v>
      </c>
      <c r="C319" s="780">
        <f>SUM(C310:C318)</f>
        <v>3.5945450299687272</v>
      </c>
      <c r="D319" s="780">
        <f>SUM(D310:D318)</f>
        <v>1.440206805453935</v>
      </c>
      <c r="E319" s="780">
        <f>SUM(E310:E318)</f>
        <v>0.7718869862009955</v>
      </c>
      <c r="F319" s="780">
        <f>SUM(F310:F318)</f>
        <v>0.69221745057962181</v>
      </c>
      <c r="H319" s="1219"/>
      <c r="I319" s="990"/>
      <c r="J319" s="1219"/>
      <c r="K319" s="990"/>
    </row>
    <row r="320" spans="2:11" x14ac:dyDescent="0.25">
      <c r="H320" s="990"/>
      <c r="I320" s="990"/>
      <c r="J320" s="990"/>
      <c r="K320" s="990"/>
    </row>
    <row r="358" ht="34.5" customHeight="1" x14ac:dyDescent="0.25"/>
  </sheetData>
  <autoFilter ref="B61:D74">
    <sortState ref="B62:D74">
      <sortCondition descending="1" ref="D61:D74"/>
    </sortState>
  </autoFilter>
  <mergeCells count="2">
    <mergeCell ref="C115:E115"/>
    <mergeCell ref="F115:H1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7"/>
  <sheetViews>
    <sheetView topLeftCell="A16" workbookViewId="0">
      <selection activeCell="B21" sqref="B21:E27"/>
    </sheetView>
  </sheetViews>
  <sheetFormatPr defaultRowHeight="15" x14ac:dyDescent="0.25"/>
  <cols>
    <col min="2" max="2" width="17.140625" customWidth="1"/>
    <col min="3" max="3" width="22.140625" customWidth="1"/>
    <col min="4" max="4" width="28.28515625" customWidth="1"/>
    <col min="5" max="5" width="21.42578125" customWidth="1"/>
  </cols>
  <sheetData>
    <row r="1" spans="2:5" x14ac:dyDescent="0.25">
      <c r="B1" t="s">
        <v>793</v>
      </c>
    </row>
    <row r="2" spans="2:5" ht="36" customHeight="1" x14ac:dyDescent="0.25">
      <c r="B2" s="829" t="s">
        <v>766</v>
      </c>
      <c r="C2" s="829" t="s">
        <v>769</v>
      </c>
      <c r="D2" s="829" t="s">
        <v>767</v>
      </c>
      <c r="E2" s="829" t="s">
        <v>768</v>
      </c>
    </row>
    <row r="3" spans="2:5" x14ac:dyDescent="0.25">
      <c r="B3" s="1240" t="s">
        <v>99</v>
      </c>
      <c r="C3" s="823" t="s">
        <v>116</v>
      </c>
      <c r="D3" s="1247" t="s">
        <v>774</v>
      </c>
      <c r="E3" s="1236" t="s">
        <v>775</v>
      </c>
    </row>
    <row r="4" spans="2:5" x14ac:dyDescent="0.25">
      <c r="B4" s="1240"/>
      <c r="C4" s="824" t="s">
        <v>5</v>
      </c>
      <c r="D4" s="1247"/>
      <c r="E4" s="1236"/>
    </row>
    <row r="5" spans="2:5" x14ac:dyDescent="0.25">
      <c r="B5" s="1240"/>
      <c r="C5" s="824" t="s">
        <v>7</v>
      </c>
      <c r="D5" s="1247"/>
      <c r="E5" s="1236"/>
    </row>
    <row r="6" spans="2:5" x14ac:dyDescent="0.25">
      <c r="B6" s="1240"/>
      <c r="C6" s="824" t="s">
        <v>8</v>
      </c>
      <c r="D6" s="1247"/>
      <c r="E6" s="1236"/>
    </row>
    <row r="7" spans="2:5" x14ac:dyDescent="0.25">
      <c r="B7" s="1240"/>
      <c r="C7" s="825" t="s">
        <v>770</v>
      </c>
      <c r="D7" s="1247"/>
      <c r="E7" s="1236"/>
    </row>
    <row r="8" spans="2:5" x14ac:dyDescent="0.25">
      <c r="B8" s="1239"/>
      <c r="C8" s="784" t="s">
        <v>143</v>
      </c>
      <c r="D8" s="826" t="s">
        <v>989</v>
      </c>
      <c r="E8" s="793" t="s">
        <v>773</v>
      </c>
    </row>
    <row r="9" spans="2:5" x14ac:dyDescent="0.25">
      <c r="B9" s="1244" t="s">
        <v>10</v>
      </c>
      <c r="C9" s="1241" t="s">
        <v>771</v>
      </c>
      <c r="D9" s="1237" t="s">
        <v>776</v>
      </c>
      <c r="E9" s="1239" t="s">
        <v>778</v>
      </c>
    </row>
    <row r="10" spans="2:5" x14ac:dyDescent="0.25">
      <c r="B10" s="1245"/>
      <c r="C10" s="1242"/>
      <c r="D10" s="1238"/>
      <c r="E10" s="1239"/>
    </row>
    <row r="11" spans="2:5" x14ac:dyDescent="0.25">
      <c r="B11" s="1245"/>
      <c r="C11" s="1243" t="s">
        <v>772</v>
      </c>
      <c r="D11" s="1237" t="s">
        <v>777</v>
      </c>
      <c r="E11" s="1239" t="s">
        <v>773</v>
      </c>
    </row>
    <row r="12" spans="2:5" x14ac:dyDescent="0.25">
      <c r="B12" s="1246"/>
      <c r="C12" s="1242"/>
      <c r="D12" s="1238"/>
      <c r="E12" s="1239"/>
    </row>
    <row r="13" spans="2:5" ht="52.5" customHeight="1" x14ac:dyDescent="0.25">
      <c r="B13" s="828" t="s">
        <v>779</v>
      </c>
      <c r="C13" s="827" t="s">
        <v>781</v>
      </c>
      <c r="D13" s="827" t="s">
        <v>988</v>
      </c>
      <c r="E13" s="828" t="s">
        <v>773</v>
      </c>
    </row>
    <row r="14" spans="2:5" ht="75" x14ac:dyDescent="0.25">
      <c r="B14" s="828" t="s">
        <v>780</v>
      </c>
      <c r="C14" s="827" t="s">
        <v>783</v>
      </c>
      <c r="D14" s="830" t="s">
        <v>1016</v>
      </c>
      <c r="E14" s="828" t="s">
        <v>773</v>
      </c>
    </row>
    <row r="15" spans="2:5" ht="75" x14ac:dyDescent="0.25">
      <c r="B15" s="828" t="s">
        <v>760</v>
      </c>
      <c r="C15" s="827" t="s">
        <v>784</v>
      </c>
      <c r="D15" s="827" t="s">
        <v>990</v>
      </c>
      <c r="E15" s="828" t="s">
        <v>991</v>
      </c>
    </row>
    <row r="16" spans="2:5" ht="45" x14ac:dyDescent="0.25">
      <c r="B16" s="828" t="s">
        <v>46</v>
      </c>
      <c r="C16" s="827" t="s">
        <v>781</v>
      </c>
      <c r="D16" s="827" t="s">
        <v>785</v>
      </c>
      <c r="E16" s="828" t="s">
        <v>775</v>
      </c>
    </row>
    <row r="17" spans="2:5" ht="52.5" customHeight="1" x14ac:dyDescent="0.25">
      <c r="B17" s="828" t="s">
        <v>71</v>
      </c>
      <c r="C17" s="827" t="s">
        <v>781</v>
      </c>
      <c r="D17" s="827" t="s">
        <v>786</v>
      </c>
      <c r="E17" s="828" t="s">
        <v>773</v>
      </c>
    </row>
    <row r="18" spans="2:5" ht="52.5" customHeight="1" x14ac:dyDescent="0.25">
      <c r="B18" s="828" t="s">
        <v>142</v>
      </c>
      <c r="C18" s="827" t="s">
        <v>781</v>
      </c>
      <c r="D18" s="827" t="s">
        <v>786</v>
      </c>
      <c r="E18" s="828" t="s">
        <v>773</v>
      </c>
    </row>
    <row r="19" spans="2:5" ht="52.5" customHeight="1" x14ac:dyDescent="0.25">
      <c r="B19" s="828" t="s">
        <v>144</v>
      </c>
      <c r="C19" s="827" t="s">
        <v>781</v>
      </c>
      <c r="D19" s="827" t="s">
        <v>787</v>
      </c>
      <c r="E19" s="828" t="s">
        <v>778</v>
      </c>
    </row>
    <row r="20" spans="2:5" x14ac:dyDescent="0.25">
      <c r="B20" s="822" t="s">
        <v>794</v>
      </c>
    </row>
    <row r="21" spans="2:5" ht="30" x14ac:dyDescent="0.25">
      <c r="B21" s="829" t="s">
        <v>766</v>
      </c>
      <c r="C21" s="829" t="s">
        <v>769</v>
      </c>
      <c r="D21" s="829" t="s">
        <v>767</v>
      </c>
      <c r="E21" s="829" t="s">
        <v>768</v>
      </c>
    </row>
    <row r="22" spans="2:5" ht="45" x14ac:dyDescent="0.25">
      <c r="B22" s="828" t="s">
        <v>53</v>
      </c>
      <c r="C22" s="827" t="s">
        <v>781</v>
      </c>
      <c r="D22" s="827" t="s">
        <v>788</v>
      </c>
      <c r="E22" s="828" t="s">
        <v>773</v>
      </c>
    </row>
    <row r="23" spans="2:5" ht="54.75" customHeight="1" x14ac:dyDescent="0.25">
      <c r="B23" s="828" t="s">
        <v>54</v>
      </c>
      <c r="C23" s="827" t="s">
        <v>781</v>
      </c>
      <c r="D23" s="827" t="s">
        <v>1017</v>
      </c>
      <c r="E23" s="828" t="s">
        <v>773</v>
      </c>
    </row>
    <row r="24" spans="2:5" ht="33" customHeight="1" x14ac:dyDescent="0.3">
      <c r="B24" s="828" t="s">
        <v>55</v>
      </c>
      <c r="C24" s="827" t="s">
        <v>781</v>
      </c>
      <c r="D24" s="827" t="s">
        <v>789</v>
      </c>
      <c r="E24" s="828" t="s">
        <v>773</v>
      </c>
    </row>
    <row r="25" spans="2:5" ht="14.45" x14ac:dyDescent="0.3">
      <c r="B25" s="828" t="s">
        <v>56</v>
      </c>
      <c r="C25" s="827" t="s">
        <v>781</v>
      </c>
      <c r="D25" s="827" t="s">
        <v>1018</v>
      </c>
      <c r="E25" s="828" t="s">
        <v>773</v>
      </c>
    </row>
    <row r="26" spans="2:5" ht="34.5" customHeight="1" x14ac:dyDescent="0.3">
      <c r="B26" s="828" t="s">
        <v>51</v>
      </c>
      <c r="C26" s="827" t="s">
        <v>781</v>
      </c>
      <c r="D26" s="827" t="s">
        <v>790</v>
      </c>
      <c r="E26" s="828" t="s">
        <v>791</v>
      </c>
    </row>
    <row r="27" spans="2:5" ht="43.5" customHeight="1" x14ac:dyDescent="0.3">
      <c r="B27" s="828" t="s">
        <v>764</v>
      </c>
      <c r="C27" s="827" t="s">
        <v>781</v>
      </c>
      <c r="D27" s="827" t="s">
        <v>792</v>
      </c>
      <c r="E27" s="828" t="s">
        <v>782</v>
      </c>
    </row>
  </sheetData>
  <mergeCells count="10">
    <mergeCell ref="B3:B8"/>
    <mergeCell ref="C9:C10"/>
    <mergeCell ref="C11:C12"/>
    <mergeCell ref="B9:B12"/>
    <mergeCell ref="D3:D7"/>
    <mergeCell ref="E3:E7"/>
    <mergeCell ref="D9:D10"/>
    <mergeCell ref="D11:D12"/>
    <mergeCell ref="E9:E10"/>
    <mergeCell ref="E11:E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7"/>
  <sheetViews>
    <sheetView workbookViewId="0">
      <selection activeCell="D21" sqref="D21"/>
    </sheetView>
  </sheetViews>
  <sheetFormatPr defaultRowHeight="15" x14ac:dyDescent="0.25"/>
  <cols>
    <col min="3" max="3" width="12.7109375" customWidth="1"/>
    <col min="4" max="5" width="14.5703125" bestFit="1" customWidth="1"/>
    <col min="6" max="6" width="14.42578125" bestFit="1" customWidth="1"/>
    <col min="7" max="7" width="12.42578125" bestFit="1" customWidth="1"/>
    <col min="8" max="8" width="14.140625" bestFit="1" customWidth="1"/>
    <col min="9" max="9" width="12.5703125" bestFit="1" customWidth="1"/>
  </cols>
  <sheetData>
    <row r="2" spans="3:9" x14ac:dyDescent="0.25">
      <c r="C2" t="s">
        <v>1015</v>
      </c>
    </row>
    <row r="3" spans="3:9" ht="60.75" customHeight="1" x14ac:dyDescent="0.25">
      <c r="C3" s="1079" t="s">
        <v>768</v>
      </c>
      <c r="D3" s="1080" t="s">
        <v>992</v>
      </c>
      <c r="E3" s="1081" t="s">
        <v>993</v>
      </c>
      <c r="F3" s="1081" t="s">
        <v>994</v>
      </c>
      <c r="G3" s="1081" t="s">
        <v>995</v>
      </c>
      <c r="H3" s="1081" t="s">
        <v>996</v>
      </c>
      <c r="I3" s="1081" t="s">
        <v>997</v>
      </c>
    </row>
    <row r="4" spans="3:9" ht="98.25" customHeight="1" x14ac:dyDescent="0.25">
      <c r="C4" s="1073" t="s">
        <v>998</v>
      </c>
      <c r="D4" s="1077" t="s">
        <v>1008</v>
      </c>
      <c r="E4" s="1071" t="s">
        <v>1001</v>
      </c>
      <c r="F4" s="1071" t="s">
        <v>1002</v>
      </c>
      <c r="G4" s="1072" t="s">
        <v>1003</v>
      </c>
      <c r="H4" s="1071" t="s">
        <v>1003</v>
      </c>
      <c r="I4" s="1071" t="s">
        <v>1003</v>
      </c>
    </row>
    <row r="5" spans="3:9" ht="141.75" x14ac:dyDescent="0.25">
      <c r="C5" s="1074" t="s">
        <v>999</v>
      </c>
      <c r="D5" s="1078" t="s">
        <v>1009</v>
      </c>
      <c r="E5" s="1072" t="s">
        <v>1004</v>
      </c>
      <c r="F5" s="1072" t="s">
        <v>1010</v>
      </c>
      <c r="G5" s="1071" t="s">
        <v>1001</v>
      </c>
      <c r="H5" s="1071" t="s">
        <v>1001</v>
      </c>
      <c r="I5" s="1072" t="s">
        <v>1005</v>
      </c>
    </row>
    <row r="6" spans="3:9" ht="98.25" customHeight="1" x14ac:dyDescent="0.3">
      <c r="C6" s="1075" t="s">
        <v>773</v>
      </c>
      <c r="D6" s="1078" t="s">
        <v>1012</v>
      </c>
      <c r="E6" s="1071" t="s">
        <v>1006</v>
      </c>
      <c r="F6" s="1071" t="s">
        <v>1006</v>
      </c>
      <c r="G6" s="1071" t="s">
        <v>1006</v>
      </c>
      <c r="H6" s="1072" t="s">
        <v>1006</v>
      </c>
      <c r="I6" s="1072" t="s">
        <v>1011</v>
      </c>
    </row>
    <row r="7" spans="3:9" ht="98.25" customHeight="1" x14ac:dyDescent="0.3">
      <c r="C7" s="1076" t="s">
        <v>1000</v>
      </c>
      <c r="D7" s="1078" t="s">
        <v>1013</v>
      </c>
      <c r="E7" s="1072" t="s">
        <v>1014</v>
      </c>
      <c r="F7" s="1071" t="s">
        <v>1007</v>
      </c>
      <c r="G7" s="1071" t="s">
        <v>1007</v>
      </c>
      <c r="H7" s="1071" t="s">
        <v>1007</v>
      </c>
      <c r="I7" s="1071" t="s">
        <v>1007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AE52"/>
  <sheetViews>
    <sheetView zoomScale="80" zoomScaleNormal="80" zoomScalePageLayoutView="70" workbookViewId="0">
      <selection activeCell="E12" sqref="E12"/>
    </sheetView>
  </sheetViews>
  <sheetFormatPr defaultColWidth="8.85546875" defaultRowHeight="12.75" outlineLevelRow="1" x14ac:dyDescent="0.2"/>
  <cols>
    <col min="1" max="1" width="3" style="112" customWidth="1"/>
    <col min="2" max="2" width="11.42578125" style="112" customWidth="1"/>
    <col min="3" max="3" width="11" style="112" customWidth="1"/>
    <col min="4" max="7" width="8.7109375" style="112" customWidth="1"/>
    <col min="8" max="8" width="8.7109375" style="347" customWidth="1"/>
    <col min="9" max="9" width="8.7109375" style="438" customWidth="1"/>
    <col min="10" max="10" width="8.7109375" style="112" customWidth="1"/>
    <col min="11" max="12" width="8.7109375" style="138" customWidth="1"/>
    <col min="13" max="14" width="8.7109375" style="112" customWidth="1"/>
    <col min="15" max="15" width="8.7109375" style="111" customWidth="1"/>
    <col min="16" max="18" width="8.7109375" style="112" customWidth="1"/>
    <col min="19" max="19" width="13" style="112" customWidth="1"/>
    <col min="20" max="20" width="10.42578125" style="112" customWidth="1"/>
    <col min="21" max="21" width="9" style="112" customWidth="1"/>
    <col min="22" max="22" width="11.42578125" style="112" bestFit="1" customWidth="1"/>
    <col min="23" max="16384" width="8.85546875" style="112"/>
  </cols>
  <sheetData>
    <row r="1" spans="1:31" s="110" customFormat="1" ht="15.75" x14ac:dyDescent="0.25">
      <c r="A1" s="135" t="s">
        <v>1020</v>
      </c>
      <c r="B1" s="136"/>
      <c r="C1" s="136"/>
      <c r="D1" s="136"/>
      <c r="E1" s="136"/>
      <c r="F1" s="136"/>
      <c r="G1" s="136"/>
      <c r="H1" s="345"/>
      <c r="I1" s="443"/>
      <c r="J1" s="136"/>
      <c r="K1" s="136"/>
      <c r="L1" s="136"/>
      <c r="M1" s="136"/>
      <c r="N1" s="136"/>
      <c r="O1" s="135"/>
      <c r="P1" s="136"/>
      <c r="Q1" s="136"/>
      <c r="R1" s="136"/>
      <c r="S1" s="136"/>
      <c r="T1" s="136"/>
      <c r="U1" s="136"/>
    </row>
    <row r="2" spans="1:31" ht="12.75" customHeight="1" x14ac:dyDescent="0.2">
      <c r="A2" s="137"/>
      <c r="B2" s="137"/>
      <c r="C2" s="138"/>
      <c r="D2" s="138"/>
      <c r="E2" s="138"/>
      <c r="F2" s="138"/>
      <c r="G2" s="138"/>
      <c r="J2" s="138"/>
      <c r="M2" s="138"/>
      <c r="N2" s="138"/>
      <c r="O2" s="137"/>
      <c r="P2" s="137"/>
      <c r="Q2" s="137"/>
      <c r="R2" s="137"/>
      <c r="S2" s="137"/>
      <c r="T2" s="137"/>
      <c r="U2" s="137"/>
      <c r="V2" s="111"/>
      <c r="Z2" s="113"/>
    </row>
    <row r="3" spans="1:31" s="186" customFormat="1" ht="12.75" customHeight="1" x14ac:dyDescent="0.2">
      <c r="A3" s="185" t="s">
        <v>188</v>
      </c>
      <c r="B3" s="185"/>
      <c r="H3" s="347"/>
      <c r="I3" s="438"/>
      <c r="O3" s="185"/>
      <c r="P3" s="185"/>
      <c r="Q3" s="185"/>
      <c r="R3" s="185"/>
      <c r="S3" s="185"/>
      <c r="T3" s="185"/>
      <c r="U3" s="185"/>
      <c r="V3" s="185"/>
      <c r="Z3" s="187"/>
    </row>
    <row r="4" spans="1:31" s="186" customFormat="1" ht="12.75" customHeight="1" x14ac:dyDescent="0.2">
      <c r="A4" s="185"/>
      <c r="B4" s="185"/>
      <c r="H4" s="347"/>
      <c r="I4" s="438"/>
      <c r="O4" s="185"/>
      <c r="P4" s="185"/>
      <c r="Q4" s="185"/>
      <c r="R4" s="185"/>
      <c r="S4" s="185"/>
      <c r="T4" s="185"/>
      <c r="U4" s="185"/>
      <c r="V4" s="185"/>
      <c r="Z4" s="187"/>
    </row>
    <row r="5" spans="1:31" ht="14.25" x14ac:dyDescent="0.2">
      <c r="A5" s="139" t="s">
        <v>252</v>
      </c>
      <c r="B5" s="140"/>
      <c r="C5" s="137"/>
      <c r="D5" s="137"/>
      <c r="E5" s="137"/>
      <c r="F5" s="141"/>
      <c r="G5" s="141"/>
      <c r="H5" s="352"/>
      <c r="I5" s="441"/>
      <c r="J5" s="137"/>
      <c r="K5" s="137"/>
      <c r="L5" s="137"/>
      <c r="M5" s="137"/>
      <c r="N5" s="138"/>
      <c r="O5" s="139"/>
      <c r="P5" s="488"/>
      <c r="Q5" s="488"/>
      <c r="R5" s="488"/>
      <c r="S5" s="488"/>
      <c r="T5" s="488"/>
      <c r="U5" s="137"/>
      <c r="V5" s="115"/>
      <c r="W5" s="472"/>
      <c r="X5" s="473"/>
      <c r="Y5" s="473"/>
      <c r="Z5" s="485"/>
    </row>
    <row r="6" spans="1:31" ht="14.25" outlineLevel="1" x14ac:dyDescent="0.2">
      <c r="A6" s="143"/>
      <c r="B6" s="467" t="s">
        <v>253</v>
      </c>
      <c r="C6" s="467"/>
      <c r="D6" s="467"/>
      <c r="E6" s="1196"/>
      <c r="F6" s="502"/>
      <c r="H6" s="494"/>
      <c r="I6" s="439"/>
      <c r="K6" s="137"/>
      <c r="L6" s="137"/>
      <c r="M6" s="137"/>
      <c r="N6" s="138"/>
      <c r="O6" s="137"/>
      <c r="P6" s="492"/>
      <c r="Q6" s="492"/>
      <c r="R6" s="492"/>
      <c r="S6" s="498"/>
      <c r="T6" s="492"/>
      <c r="U6" s="451"/>
      <c r="V6" s="117"/>
      <c r="W6" s="468"/>
      <c r="X6" s="468"/>
      <c r="Y6" s="468"/>
      <c r="Z6" s="468"/>
      <c r="AA6" s="117"/>
      <c r="AB6" s="118"/>
      <c r="AC6" s="118"/>
      <c r="AD6" s="111"/>
      <c r="AE6" s="111"/>
    </row>
    <row r="7" spans="1:31" ht="14.25" outlineLevel="1" x14ac:dyDescent="0.2">
      <c r="A7" s="471"/>
      <c r="B7" s="496" t="s">
        <v>254</v>
      </c>
      <c r="C7" s="496"/>
      <c r="D7" s="496"/>
      <c r="E7" s="484">
        <v>360</v>
      </c>
      <c r="F7" s="1195" t="s">
        <v>139</v>
      </c>
      <c r="I7" s="439"/>
      <c r="K7" s="137"/>
      <c r="L7" s="137"/>
      <c r="M7" s="137"/>
      <c r="N7" s="138"/>
      <c r="O7" s="137"/>
      <c r="P7" s="492"/>
      <c r="Q7" s="492"/>
      <c r="R7" s="492"/>
      <c r="S7" s="498"/>
      <c r="T7" s="492"/>
      <c r="U7" s="451"/>
      <c r="V7" s="117"/>
      <c r="W7" s="468"/>
      <c r="X7" s="487"/>
      <c r="Y7" s="468"/>
      <c r="Z7" s="468"/>
      <c r="AA7" s="117"/>
      <c r="AB7" s="118"/>
      <c r="AC7" s="118"/>
      <c r="AD7" s="111"/>
      <c r="AE7" s="111"/>
    </row>
    <row r="8" spans="1:31" s="347" customFormat="1" ht="14.25" outlineLevel="1" x14ac:dyDescent="0.2">
      <c r="A8" s="471"/>
      <c r="B8" s="469"/>
      <c r="C8" s="466"/>
      <c r="D8" s="466"/>
      <c r="E8" s="497"/>
      <c r="H8" s="494"/>
      <c r="I8" s="439"/>
      <c r="K8" s="346"/>
      <c r="L8" s="346"/>
      <c r="M8" s="346"/>
      <c r="O8" s="346"/>
      <c r="P8" s="493"/>
      <c r="Q8" s="492"/>
      <c r="R8" s="492"/>
      <c r="S8" s="501"/>
      <c r="T8" s="492"/>
      <c r="U8" s="451"/>
      <c r="V8" s="348"/>
      <c r="W8" s="468"/>
      <c r="X8" s="487"/>
      <c r="Y8" s="468"/>
      <c r="Z8" s="468"/>
      <c r="AA8" s="348"/>
      <c r="AB8" s="349"/>
      <c r="AC8" s="349"/>
      <c r="AD8" s="346"/>
      <c r="AE8" s="346"/>
    </row>
    <row r="9" spans="1:31" s="429" customFormat="1" outlineLevel="1" x14ac:dyDescent="0.2">
      <c r="A9" s="139" t="s">
        <v>170</v>
      </c>
      <c r="B9" s="142"/>
      <c r="C9" s="142"/>
      <c r="D9" s="142"/>
      <c r="E9" s="493"/>
      <c r="H9" s="494"/>
      <c r="I9" s="439"/>
      <c r="K9" s="430"/>
      <c r="L9" s="430"/>
      <c r="M9" s="430"/>
      <c r="O9" s="430"/>
      <c r="P9" s="493"/>
      <c r="Q9" s="492"/>
      <c r="R9" s="492"/>
      <c r="S9" s="498"/>
      <c r="T9" s="492"/>
      <c r="U9" s="431"/>
      <c r="V9" s="433"/>
      <c r="W9" s="468"/>
      <c r="X9" s="487"/>
      <c r="Y9" s="468"/>
      <c r="Z9" s="468"/>
      <c r="AA9" s="433"/>
      <c r="AB9" s="432"/>
      <c r="AC9" s="432"/>
      <c r="AD9" s="430"/>
      <c r="AE9" s="430"/>
    </row>
    <row r="10" spans="1:31" outlineLevel="1" x14ac:dyDescent="0.2">
      <c r="A10" s="137"/>
      <c r="B10" s="146" t="s">
        <v>172</v>
      </c>
      <c r="C10" s="146"/>
      <c r="D10" s="146"/>
      <c r="E10" s="121">
        <v>0.98</v>
      </c>
      <c r="F10" s="502"/>
      <c r="H10" s="494"/>
      <c r="I10" s="439"/>
      <c r="K10" s="137"/>
      <c r="L10" s="137"/>
      <c r="M10" s="137"/>
      <c r="N10" s="138"/>
      <c r="O10" s="137"/>
      <c r="U10" s="137"/>
      <c r="V10" s="111"/>
      <c r="W10" s="489"/>
      <c r="X10" s="489"/>
      <c r="Y10" s="489"/>
      <c r="Z10" s="483"/>
      <c r="AA10" s="111"/>
      <c r="AB10" s="111"/>
      <c r="AC10" s="111"/>
      <c r="AD10" s="111"/>
      <c r="AE10" s="111"/>
    </row>
    <row r="11" spans="1:31" s="347" customFormat="1" outlineLevel="1" x14ac:dyDescent="0.2">
      <c r="A11" s="137"/>
      <c r="B11" s="499" t="s">
        <v>158</v>
      </c>
      <c r="C11" s="496"/>
      <c r="D11" s="496"/>
      <c r="E11" s="121">
        <v>0.95</v>
      </c>
      <c r="F11" s="502"/>
      <c r="H11" s="494"/>
      <c r="I11" s="440"/>
      <c r="K11" s="346"/>
      <c r="L11" s="346"/>
      <c r="M11" s="346"/>
      <c r="O11" s="346"/>
      <c r="U11" s="346"/>
      <c r="V11" s="346"/>
      <c r="W11" s="489"/>
      <c r="X11" s="489"/>
      <c r="Y11" s="489"/>
      <c r="Z11" s="483"/>
      <c r="AA11" s="346"/>
      <c r="AB11" s="346"/>
      <c r="AC11" s="346"/>
      <c r="AD11" s="346"/>
      <c r="AE11" s="346"/>
    </row>
    <row r="12" spans="1:31" outlineLevel="1" x14ac:dyDescent="0.2">
      <c r="G12" s="495"/>
      <c r="H12" s="147"/>
      <c r="I12" s="440"/>
      <c r="K12" s="147"/>
      <c r="L12" s="147"/>
      <c r="M12" s="137"/>
      <c r="N12" s="138"/>
      <c r="U12" s="137"/>
      <c r="V12" s="111"/>
      <c r="W12" s="111"/>
      <c r="X12" s="111"/>
      <c r="Y12" s="111"/>
      <c r="Z12" s="119"/>
      <c r="AA12" s="111"/>
      <c r="AB12" s="111"/>
      <c r="AC12" s="111"/>
      <c r="AD12" s="111"/>
      <c r="AE12" s="111"/>
    </row>
    <row r="13" spans="1:31" outlineLevel="1" x14ac:dyDescent="0.2">
      <c r="G13" s="495"/>
      <c r="H13" s="412"/>
      <c r="K13" s="147"/>
      <c r="L13" s="147"/>
      <c r="M13" s="137"/>
      <c r="N13" s="138"/>
      <c r="U13" s="137"/>
      <c r="V13" s="111"/>
      <c r="W13" s="111"/>
      <c r="X13" s="111"/>
      <c r="Y13" s="111"/>
      <c r="Z13" s="119"/>
      <c r="AA13" s="111"/>
      <c r="AB13" s="111"/>
      <c r="AC13" s="111"/>
      <c r="AD13" s="111"/>
      <c r="AE13" s="111"/>
    </row>
    <row r="14" spans="1:31" outlineLevel="1" x14ac:dyDescent="0.2">
      <c r="A14" s="139" t="s">
        <v>165</v>
      </c>
      <c r="B14" s="137"/>
      <c r="C14" s="137"/>
      <c r="D14" s="137"/>
      <c r="E14" s="500"/>
      <c r="F14" s="148"/>
      <c r="G14" s="495"/>
      <c r="H14" s="394"/>
      <c r="I14" s="440"/>
      <c r="K14" s="147"/>
      <c r="L14" s="147"/>
      <c r="M14" s="137"/>
      <c r="N14" s="138"/>
      <c r="U14" s="145"/>
      <c r="V14" s="111"/>
      <c r="W14" s="111"/>
      <c r="X14" s="111"/>
      <c r="Y14" s="111"/>
      <c r="Z14" s="119"/>
      <c r="AA14" s="111"/>
      <c r="AB14" s="111"/>
      <c r="AC14" s="111"/>
      <c r="AD14" s="111"/>
      <c r="AE14" s="111"/>
    </row>
    <row r="15" spans="1:31" s="448" customFormat="1" outlineLevel="1" x14ac:dyDescent="0.2">
      <c r="A15" s="138"/>
      <c r="B15" s="149" t="s">
        <v>166</v>
      </c>
      <c r="C15" s="146"/>
      <c r="D15" s="496"/>
      <c r="E15" s="1194">
        <f>E16/0.82</f>
        <v>131.80487804878049</v>
      </c>
      <c r="F15" s="151" t="s">
        <v>139</v>
      </c>
      <c r="G15" s="338"/>
      <c r="H15" s="450"/>
      <c r="I15" s="450"/>
      <c r="K15" s="450"/>
      <c r="L15" s="450"/>
      <c r="M15" s="449"/>
      <c r="U15" s="451"/>
      <c r="V15" s="449"/>
      <c r="W15" s="449"/>
      <c r="X15" s="449"/>
      <c r="Y15" s="449"/>
      <c r="Z15" s="350"/>
      <c r="AA15" s="449"/>
      <c r="AB15" s="449"/>
      <c r="AC15" s="449"/>
      <c r="AD15" s="449"/>
      <c r="AE15" s="449"/>
    </row>
    <row r="16" spans="1:31" s="448" customFormat="1" outlineLevel="1" x14ac:dyDescent="0.2">
      <c r="A16" s="137"/>
      <c r="B16" s="153" t="s">
        <v>167</v>
      </c>
      <c r="C16" s="146"/>
      <c r="D16" s="150"/>
      <c r="E16" s="1197">
        <v>108.08</v>
      </c>
      <c r="F16" s="144" t="s">
        <v>139</v>
      </c>
      <c r="G16" s="338"/>
      <c r="H16" s="450"/>
      <c r="I16" s="450"/>
      <c r="K16" s="450"/>
      <c r="L16" s="450"/>
      <c r="M16" s="449"/>
      <c r="U16" s="451"/>
      <c r="V16" s="449"/>
      <c r="W16" s="449"/>
      <c r="X16" s="449"/>
      <c r="Y16" s="449"/>
      <c r="Z16" s="350"/>
      <c r="AA16" s="449"/>
      <c r="AB16" s="449"/>
      <c r="AC16" s="449"/>
      <c r="AD16" s="449"/>
      <c r="AE16" s="449"/>
    </row>
    <row r="17" spans="1:31" outlineLevel="1" x14ac:dyDescent="0.2">
      <c r="A17" s="449"/>
      <c r="B17" s="153" t="s">
        <v>168</v>
      </c>
      <c r="C17" s="146"/>
      <c r="D17" s="150"/>
      <c r="E17" s="1198">
        <v>360.28</v>
      </c>
      <c r="F17" s="144" t="s">
        <v>139</v>
      </c>
      <c r="G17" s="470"/>
      <c r="H17" s="394"/>
      <c r="I17" s="440"/>
      <c r="K17" s="147"/>
      <c r="L17" s="147"/>
      <c r="M17" s="137"/>
      <c r="N17" s="138"/>
      <c r="U17" s="152"/>
      <c r="V17" s="111"/>
      <c r="W17" s="111"/>
      <c r="X17" s="111"/>
      <c r="Y17" s="111"/>
      <c r="Z17" s="119"/>
      <c r="AA17" s="111"/>
      <c r="AB17" s="111"/>
      <c r="AC17" s="111"/>
      <c r="AD17" s="111"/>
      <c r="AE17" s="111"/>
    </row>
    <row r="18" spans="1:31" outlineLevel="1" x14ac:dyDescent="0.2">
      <c r="A18" s="449"/>
      <c r="B18" s="153" t="s">
        <v>169</v>
      </c>
      <c r="C18" s="146"/>
      <c r="D18" s="150"/>
      <c r="E18" s="1199">
        <f>E16/E17</f>
        <v>0.29998889752414792</v>
      </c>
      <c r="F18" s="144"/>
      <c r="G18" s="466"/>
      <c r="H18" s="147"/>
      <c r="I18" s="440"/>
      <c r="K18" s="147"/>
      <c r="L18" s="147"/>
      <c r="M18" s="137"/>
      <c r="N18" s="138"/>
      <c r="U18" s="137"/>
      <c r="V18" s="111"/>
      <c r="W18" s="111"/>
      <c r="X18" s="111"/>
      <c r="Y18" s="111"/>
      <c r="Z18" s="119"/>
      <c r="AA18" s="111"/>
      <c r="AB18" s="111"/>
      <c r="AC18" s="111"/>
      <c r="AD18" s="111"/>
      <c r="AE18" s="111"/>
    </row>
    <row r="19" spans="1:31" outlineLevel="1" x14ac:dyDescent="0.2">
      <c r="A19" s="137"/>
      <c r="B19" s="153" t="s">
        <v>159</v>
      </c>
      <c r="C19" s="146"/>
      <c r="D19" s="150"/>
      <c r="E19" s="154">
        <f>E16*E10*E11*24*365/1000</f>
        <v>881.45292479999978</v>
      </c>
      <c r="F19" s="155" t="s">
        <v>173</v>
      </c>
      <c r="H19" s="137"/>
      <c r="I19" s="439"/>
      <c r="K19" s="137"/>
      <c r="L19" s="137"/>
      <c r="M19" s="137"/>
      <c r="N19" s="138"/>
      <c r="O19" s="137"/>
      <c r="U19" s="137"/>
      <c r="W19" s="114"/>
      <c r="X19" s="111"/>
      <c r="Y19" s="111"/>
      <c r="Z19" s="119"/>
      <c r="AA19" s="111"/>
      <c r="AB19" s="111"/>
      <c r="AC19" s="111"/>
      <c r="AD19" s="111"/>
      <c r="AE19" s="111"/>
    </row>
    <row r="20" spans="1:31" outlineLevel="1" x14ac:dyDescent="0.2">
      <c r="A20" s="137"/>
      <c r="B20" s="153" t="s">
        <v>171</v>
      </c>
      <c r="C20" s="146"/>
      <c r="D20" s="150"/>
      <c r="E20" s="157">
        <f>E16/1.3</f>
        <v>83.138461538461527</v>
      </c>
      <c r="F20" s="158"/>
      <c r="G20" s="156"/>
      <c r="H20" s="353"/>
      <c r="I20" s="442"/>
      <c r="J20" s="147"/>
      <c r="K20" s="147"/>
      <c r="L20" s="147"/>
      <c r="M20" s="137"/>
      <c r="N20" s="138"/>
      <c r="U20" s="137"/>
      <c r="W20" s="111"/>
      <c r="X20" s="111"/>
      <c r="Y20" s="120"/>
      <c r="Z20" s="116"/>
      <c r="AA20" s="111"/>
      <c r="AB20" s="111"/>
      <c r="AC20" s="111"/>
      <c r="AD20" s="111"/>
    </row>
    <row r="21" spans="1:31" s="491" customFormat="1" outlineLevel="1" x14ac:dyDescent="0.2">
      <c r="B21" s="473"/>
      <c r="C21" s="473"/>
      <c r="D21" s="486"/>
      <c r="E21" s="490"/>
      <c r="F21" s="490"/>
      <c r="G21" s="490"/>
      <c r="H21" s="490"/>
      <c r="I21" s="490"/>
      <c r="J21" s="490"/>
      <c r="K21" s="490"/>
      <c r="L21" s="490"/>
      <c r="M21" s="490"/>
      <c r="N21" s="490"/>
      <c r="O21" s="490"/>
      <c r="P21" s="490"/>
      <c r="Q21" s="490"/>
      <c r="R21" s="490"/>
      <c r="S21" s="490"/>
      <c r="T21" s="490"/>
    </row>
    <row r="22" spans="1:31" outlineLevel="1" x14ac:dyDescent="0.2">
      <c r="B22" s="494"/>
      <c r="C22" s="474"/>
      <c r="D22" s="477"/>
      <c r="E22" s="128"/>
      <c r="F22" s="128"/>
      <c r="G22" s="128"/>
      <c r="H22" s="351"/>
      <c r="I22" s="447"/>
      <c r="J22" s="128"/>
      <c r="K22" s="159"/>
      <c r="L22" s="159"/>
    </row>
    <row r="23" spans="1:31" x14ac:dyDescent="0.2">
      <c r="A23" s="756" t="s">
        <v>716</v>
      </c>
      <c r="B23" s="124"/>
      <c r="C23" s="124"/>
      <c r="E23" s="124"/>
      <c r="F23" s="111"/>
      <c r="H23" s="112"/>
      <c r="I23" s="112"/>
    </row>
    <row r="24" spans="1:31" outlineLevel="1" x14ac:dyDescent="0.2">
      <c r="A24" s="112" t="s">
        <v>712</v>
      </c>
      <c r="B24" s="138"/>
      <c r="C24" s="138"/>
      <c r="F24" s="111">
        <v>7.0000000000000007E-2</v>
      </c>
      <c r="H24" s="112"/>
      <c r="I24" s="112"/>
    </row>
    <row r="25" spans="1:31" outlineLevel="1" x14ac:dyDescent="0.2">
      <c r="A25" s="112" t="s">
        <v>713</v>
      </c>
      <c r="B25" s="138"/>
      <c r="C25" s="138"/>
      <c r="F25" s="111">
        <v>2.5000000000000001E-2</v>
      </c>
      <c r="H25" s="112"/>
      <c r="I25" s="112"/>
    </row>
    <row r="26" spans="1:31" outlineLevel="1" x14ac:dyDescent="0.2">
      <c r="A26" s="491" t="s">
        <v>714</v>
      </c>
      <c r="B26" s="138"/>
      <c r="C26" s="138"/>
      <c r="F26" s="111">
        <v>0.39600000000000002</v>
      </c>
      <c r="H26" s="112"/>
      <c r="I26" s="112"/>
    </row>
    <row r="27" spans="1:31" outlineLevel="1" x14ac:dyDescent="0.2">
      <c r="A27" s="112" t="s">
        <v>715</v>
      </c>
      <c r="B27" s="138"/>
      <c r="C27" s="138"/>
      <c r="F27" s="111">
        <v>20</v>
      </c>
      <c r="H27" s="112"/>
      <c r="I27" s="112"/>
    </row>
    <row r="28" spans="1:31" outlineLevel="1" x14ac:dyDescent="0.2">
      <c r="A28" s="112" t="s">
        <v>709</v>
      </c>
      <c r="B28" s="138"/>
      <c r="C28" s="138"/>
      <c r="F28" s="111" t="s">
        <v>708</v>
      </c>
      <c r="H28" s="112"/>
      <c r="I28" s="112"/>
    </row>
    <row r="29" spans="1:31" outlineLevel="1" x14ac:dyDescent="0.2">
      <c r="A29" s="125" t="s">
        <v>164</v>
      </c>
      <c r="E29" s="112" t="s">
        <v>174</v>
      </c>
      <c r="F29" s="126">
        <v>0.2</v>
      </c>
      <c r="G29" s="112">
        <v>1</v>
      </c>
      <c r="H29" s="491">
        <f t="shared" ref="H29:H34" si="0">$F$26*(F29/(((1+$F$24)^G29)*(1+$F$25)^G29))</f>
        <v>7.2213357647595178E-2</v>
      </c>
      <c r="I29" s="112"/>
    </row>
    <row r="30" spans="1:31" outlineLevel="1" x14ac:dyDescent="0.2">
      <c r="A30" s="115"/>
      <c r="E30" s="112" t="s">
        <v>175</v>
      </c>
      <c r="F30" s="127">
        <v>0.32</v>
      </c>
      <c r="G30" s="112">
        <v>2</v>
      </c>
      <c r="H30" s="491">
        <f t="shared" si="0"/>
        <v>0.10534886914625237</v>
      </c>
      <c r="I30" s="112"/>
    </row>
    <row r="31" spans="1:31" ht="13.15" outlineLevel="1" x14ac:dyDescent="0.25">
      <c r="E31" s="112" t="s">
        <v>176</v>
      </c>
      <c r="F31" s="127">
        <v>0.192</v>
      </c>
      <c r="G31" s="112">
        <v>3</v>
      </c>
      <c r="H31" s="491">
        <f t="shared" si="0"/>
        <v>5.7633299738091108E-2</v>
      </c>
      <c r="I31" s="112"/>
    </row>
    <row r="32" spans="1:31" ht="13.15" outlineLevel="1" x14ac:dyDescent="0.25">
      <c r="E32" s="112" t="s">
        <v>177</v>
      </c>
      <c r="F32" s="127">
        <v>0.1152</v>
      </c>
      <c r="G32" s="112">
        <v>4</v>
      </c>
      <c r="H32" s="491">
        <f t="shared" si="0"/>
        <v>3.1529500654528982E-2</v>
      </c>
      <c r="I32" s="112"/>
    </row>
    <row r="33" spans="1:12" ht="13.15" outlineLevel="1" x14ac:dyDescent="0.25">
      <c r="E33" s="112" t="s">
        <v>178</v>
      </c>
      <c r="F33" s="127">
        <v>0.1152</v>
      </c>
      <c r="G33" s="112">
        <v>5</v>
      </c>
      <c r="H33" s="491">
        <f t="shared" si="0"/>
        <v>2.8748120040600851E-2</v>
      </c>
      <c r="I33" s="112"/>
    </row>
    <row r="34" spans="1:12" ht="13.15" outlineLevel="1" x14ac:dyDescent="0.25">
      <c r="E34" s="112" t="s">
        <v>179</v>
      </c>
      <c r="F34" s="127">
        <v>5.7599999999999998E-2</v>
      </c>
      <c r="G34" s="112">
        <v>6</v>
      </c>
      <c r="H34" s="491">
        <f t="shared" si="0"/>
        <v>1.3106049710782245E-2</v>
      </c>
      <c r="I34" s="112"/>
    </row>
    <row r="35" spans="1:12" ht="13.15" outlineLevel="1" x14ac:dyDescent="0.25">
      <c r="B35" s="138"/>
      <c r="C35" s="138"/>
      <c r="F35" s="111"/>
      <c r="H35" s="112"/>
      <c r="I35" s="112"/>
    </row>
    <row r="36" spans="1:12" ht="13.15" outlineLevel="1" x14ac:dyDescent="0.25">
      <c r="A36" s="112" t="s">
        <v>710</v>
      </c>
      <c r="B36" s="138"/>
      <c r="C36" s="138"/>
      <c r="F36" s="122">
        <f>SUM(H29:H34)</f>
        <v>0.30857919693785069</v>
      </c>
      <c r="H36" s="112"/>
      <c r="I36" s="112"/>
      <c r="J36" s="438"/>
    </row>
    <row r="37" spans="1:12" ht="13.15" outlineLevel="1" x14ac:dyDescent="0.25">
      <c r="A37" s="112" t="s">
        <v>711</v>
      </c>
      <c r="B37" s="138"/>
      <c r="C37" s="138"/>
      <c r="F37" s="111"/>
      <c r="H37" s="112"/>
      <c r="I37" s="112"/>
      <c r="J37" s="440"/>
    </row>
    <row r="38" spans="1:12" ht="13.15" outlineLevel="1" x14ac:dyDescent="0.25">
      <c r="G38" s="338"/>
      <c r="H38" s="338"/>
      <c r="I38" s="112"/>
      <c r="J38" s="445"/>
    </row>
    <row r="39" spans="1:12" ht="13.9" outlineLevel="1" thickBot="1" x14ac:dyDescent="0.3">
      <c r="A39" s="757" t="s">
        <v>180</v>
      </c>
      <c r="B39" s="757"/>
      <c r="C39" s="757"/>
      <c r="D39" s="757"/>
      <c r="E39" s="757"/>
      <c r="F39" s="758">
        <f>(F24/((1-(1/(1+F24)^F27))))*((1-F36)/(1-F26))</f>
        <v>0.10805502072978093</v>
      </c>
      <c r="G39" s="338"/>
      <c r="H39" s="338"/>
      <c r="I39" s="112"/>
      <c r="J39" s="445"/>
    </row>
    <row r="40" spans="1:12" ht="13.9" outlineLevel="1" thickTop="1" x14ac:dyDescent="0.25">
      <c r="H40" s="112"/>
      <c r="I40" s="112"/>
      <c r="J40" s="446"/>
    </row>
    <row r="41" spans="1:12" ht="13.15" outlineLevel="1" x14ac:dyDescent="0.25">
      <c r="H41" s="112"/>
      <c r="I41" s="112"/>
      <c r="J41" s="445"/>
      <c r="K41" s="123"/>
      <c r="L41" s="123"/>
    </row>
    <row r="42" spans="1:12" ht="13.15" outlineLevel="1" x14ac:dyDescent="0.25">
      <c r="H42" s="112"/>
      <c r="I42" s="112"/>
      <c r="J42" s="445"/>
    </row>
    <row r="43" spans="1:12" ht="13.15" outlineLevel="1" x14ac:dyDescent="0.25">
      <c r="H43" s="112"/>
      <c r="I43" s="112"/>
      <c r="J43" s="445"/>
    </row>
    <row r="44" spans="1:12" ht="13.15" outlineLevel="1" x14ac:dyDescent="0.25">
      <c r="H44" s="112"/>
      <c r="I44" s="112"/>
      <c r="J44" s="445"/>
    </row>
    <row r="45" spans="1:12" ht="13.15" outlineLevel="1" x14ac:dyDescent="0.25">
      <c r="H45" s="112"/>
      <c r="I45" s="112"/>
      <c r="J45" s="445"/>
    </row>
    <row r="46" spans="1:12" ht="13.15" outlineLevel="1" x14ac:dyDescent="0.25">
      <c r="H46" s="112"/>
      <c r="I46" s="112"/>
      <c r="J46" s="445"/>
    </row>
    <row r="47" spans="1:12" ht="13.15" outlineLevel="1" x14ac:dyDescent="0.25">
      <c r="H47" s="112"/>
      <c r="I47" s="112"/>
      <c r="J47" s="445"/>
      <c r="K47" s="129"/>
      <c r="L47" s="129"/>
    </row>
    <row r="48" spans="1:12" ht="13.15" x14ac:dyDescent="0.25">
      <c r="H48" s="112"/>
      <c r="I48" s="112"/>
      <c r="J48" s="444"/>
    </row>
    <row r="49" spans="8:10" ht="13.15" x14ac:dyDescent="0.25">
      <c r="H49" s="112"/>
      <c r="I49" s="112"/>
      <c r="J49" s="365"/>
    </row>
    <row r="50" spans="8:10" ht="13.15" x14ac:dyDescent="0.25">
      <c r="H50" s="112"/>
      <c r="I50" s="112"/>
      <c r="J50" s="338"/>
    </row>
    <row r="51" spans="8:10" ht="13.15" x14ac:dyDescent="0.25">
      <c r="H51" s="112"/>
      <c r="I51" s="112"/>
    </row>
    <row r="52" spans="8:10" ht="13.15" x14ac:dyDescent="0.25">
      <c r="H52" s="112"/>
      <c r="I52" s="112"/>
    </row>
  </sheetData>
  <dataConsolidate/>
  <pageMargins left="0.75" right="0.75" top="1" bottom="1" header="0.5" footer="0.5"/>
  <pageSetup scale="92" orientation="portrait" horizontalDpi="300" verticalDpi="300"/>
  <headerFooter alignWithMargins="0"/>
  <colBreaks count="2" manualBreakCount="2">
    <brk id="13" max="1048575" man="1"/>
    <brk id="21" max="1048575" man="1"/>
  </col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tabSelected="1" zoomScale="70" zoomScaleNormal="70" zoomScalePageLayoutView="125" workbookViewId="0">
      <pane xSplit="8" ySplit="4" topLeftCell="I5" activePane="bottomRight" state="frozen"/>
      <selection activeCell="A3" sqref="A3"/>
      <selection pane="topRight" activeCell="I3" sqref="I3"/>
      <selection pane="bottomLeft" activeCell="A5" sqref="A5"/>
      <selection pane="bottomRight" activeCell="E10" sqref="E10"/>
    </sheetView>
  </sheetViews>
  <sheetFormatPr defaultColWidth="8.85546875" defaultRowHeight="15" outlineLevelRow="2" x14ac:dyDescent="0.25"/>
  <cols>
    <col min="1" max="1" width="8.42578125" style="36" customWidth="1"/>
    <col min="2" max="2" width="3.85546875" style="68" customWidth="1"/>
    <col min="3" max="4" width="4.140625" style="68" customWidth="1"/>
    <col min="5" max="7" width="8.85546875" style="68"/>
    <col min="8" max="9" width="20.28515625" style="68" customWidth="1"/>
    <col min="10" max="10" width="19.42578125" style="68" bestFit="1" customWidth="1"/>
    <col min="11" max="11" width="10.140625" style="58" customWidth="1"/>
    <col min="12" max="12" width="20.42578125" style="68" bestFit="1" customWidth="1"/>
    <col min="13" max="13" width="10.140625" style="58" customWidth="1"/>
    <col min="14" max="14" width="22.7109375" style="68" bestFit="1" customWidth="1"/>
    <col min="15" max="15" width="11.42578125" style="58" customWidth="1"/>
    <col min="16" max="16" width="20.85546875" style="68" customWidth="1"/>
    <col min="17" max="17" width="11" style="68" customWidth="1"/>
    <col min="18" max="18" width="17.140625" style="68" bestFit="1" customWidth="1"/>
    <col min="19" max="19" width="16.85546875" style="68" bestFit="1" customWidth="1"/>
    <col min="20" max="22" width="13.28515625" style="68" bestFit="1" customWidth="1"/>
    <col min="23" max="16384" width="8.85546875" style="68"/>
  </cols>
  <sheetData>
    <row r="1" spans="1:19" ht="21.75" customHeight="1" x14ac:dyDescent="0.25">
      <c r="A1" s="599" t="s">
        <v>182</v>
      </c>
      <c r="B1" s="988"/>
      <c r="C1" s="988"/>
      <c r="D1" s="988"/>
      <c r="E1" s="988"/>
      <c r="F1" s="988"/>
      <c r="G1" s="988"/>
      <c r="H1" s="988"/>
      <c r="I1" s="988"/>
      <c r="J1" s="995">
        <f>J4*'Performance &amp; Economics'!$E$17</f>
        <v>360.28</v>
      </c>
      <c r="K1" s="995"/>
      <c r="L1" s="995">
        <f>L4*'Performance &amp; Economics'!$E$17</f>
        <v>3602.7999999999997</v>
      </c>
      <c r="M1" s="995"/>
      <c r="N1" s="995">
        <f>N4*'Performance &amp; Economics'!$E$17</f>
        <v>18014</v>
      </c>
      <c r="O1" s="995"/>
      <c r="P1" s="995">
        <f>P4*'Performance &amp; Economics'!$E$17</f>
        <v>36028</v>
      </c>
    </row>
    <row r="2" spans="1:19" ht="27" customHeight="1" x14ac:dyDescent="0.25">
      <c r="A2" s="599" t="s">
        <v>183</v>
      </c>
      <c r="B2" s="988"/>
      <c r="C2" s="988"/>
      <c r="D2" s="988"/>
      <c r="E2" s="988"/>
      <c r="F2" s="988"/>
      <c r="G2" s="988"/>
      <c r="H2" s="988"/>
      <c r="I2" s="988"/>
      <c r="J2" s="578">
        <f>'Performance &amp; Economics'!$E$19</f>
        <v>881.45292479999978</v>
      </c>
      <c r="K2" s="578"/>
      <c r="L2" s="578">
        <f>J2*L4</f>
        <v>8814.5292479999971</v>
      </c>
      <c r="M2" s="578"/>
      <c r="N2" s="578">
        <f>J2*N4</f>
        <v>44072.646239999987</v>
      </c>
      <c r="O2" s="578"/>
      <c r="P2" s="578">
        <f>J2*P4</f>
        <v>88145.292479999975</v>
      </c>
    </row>
    <row r="3" spans="1:19" ht="22.5" customHeight="1" x14ac:dyDescent="0.25">
      <c r="A3" s="2" t="s">
        <v>723</v>
      </c>
      <c r="I3" s="57"/>
      <c r="J3" s="1248" t="s">
        <v>65</v>
      </c>
      <c r="K3" s="1248"/>
      <c r="L3" s="1248"/>
      <c r="M3" s="1248"/>
      <c r="N3" s="1248"/>
      <c r="O3" s="1248"/>
      <c r="P3" s="1248"/>
      <c r="Q3" s="57"/>
    </row>
    <row r="4" spans="1:19" ht="24.75" customHeight="1" x14ac:dyDescent="0.25">
      <c r="I4" s="57" t="s">
        <v>110</v>
      </c>
      <c r="J4" s="57">
        <v>1</v>
      </c>
      <c r="K4" s="91" t="s">
        <v>145</v>
      </c>
      <c r="L4" s="57">
        <v>10</v>
      </c>
      <c r="M4" s="91" t="s">
        <v>145</v>
      </c>
      <c r="N4" s="57">
        <v>50</v>
      </c>
      <c r="O4" s="91" t="s">
        <v>146</v>
      </c>
      <c r="P4" s="57">
        <v>100</v>
      </c>
      <c r="Q4" s="91" t="s">
        <v>146</v>
      </c>
      <c r="R4" s="57"/>
      <c r="S4" s="69"/>
    </row>
    <row r="5" spans="1:19" s="58" customFormat="1" outlineLevel="1" x14ac:dyDescent="0.25">
      <c r="A5" s="599">
        <f>'CBS (Total)'!A3</f>
        <v>1</v>
      </c>
      <c r="B5" s="988" t="str">
        <f>'CBS (Total)'!B3</f>
        <v>Capex</v>
      </c>
      <c r="C5" s="882"/>
      <c r="D5" s="882"/>
      <c r="E5" s="882"/>
      <c r="F5" s="882"/>
      <c r="G5" s="882"/>
      <c r="H5" s="882"/>
      <c r="I5" s="896"/>
      <c r="J5" s="134"/>
      <c r="K5" s="600"/>
      <c r="L5" s="134"/>
      <c r="M5" s="600"/>
      <c r="N5" s="134"/>
      <c r="O5" s="600"/>
      <c r="P5" s="134"/>
      <c r="Q5" s="601"/>
      <c r="R5" s="85"/>
      <c r="S5" s="85"/>
    </row>
    <row r="6" spans="1:19" s="427" customFormat="1" outlineLevel="2" x14ac:dyDescent="0.25">
      <c r="A6" s="1178">
        <f>'CBS (Total)'!A4</f>
        <v>1.1000000000000001</v>
      </c>
      <c r="B6" s="1179"/>
      <c r="C6" s="1179" t="str">
        <f>'CBS (Total)'!C4</f>
        <v>Development</v>
      </c>
      <c r="D6" s="1179"/>
      <c r="E6" s="1179"/>
      <c r="F6" s="1179"/>
      <c r="G6" s="1179"/>
      <c r="H6" s="1179"/>
      <c r="I6" s="1179"/>
      <c r="J6" s="1180">
        <f>('CBS (Total)'!J4*'Performance &amp; Economics'!$F$39)/'CBS (CoE)'!J$2/10</f>
        <v>48.365430775427285</v>
      </c>
      <c r="K6" s="1181">
        <f>J6/$J$54</f>
        <v>0.2103602627405918</v>
      </c>
      <c r="L6" s="1180">
        <f>('CBS (Total)'!L4*'Performance &amp; Economics'!$F$39)/'CBS (CoE)'!L$2/10</f>
        <v>10.040592045044026</v>
      </c>
      <c r="M6" s="1181">
        <f>L6/$L$54</f>
        <v>0.10961485822700236</v>
      </c>
      <c r="N6" s="1180">
        <f>('CBS (Total)'!N4*'Performance &amp; Economics'!$F$39)/'CBS (CoE)'!N$2/10</f>
        <v>2.4911735319915005</v>
      </c>
      <c r="O6" s="1181">
        <f>N6/$N$54</f>
        <v>3.89688110805535E-2</v>
      </c>
      <c r="P6" s="1180">
        <f>('CBS (Total)'!P4*'Performance &amp; Economics'!$F$39)/'CBS (CoE)'!P$2/10</f>
        <v>1.3237985110466268</v>
      </c>
      <c r="Q6" s="1182">
        <f>P6/$P$54</f>
        <v>2.1720105993563471E-2</v>
      </c>
    </row>
    <row r="7" spans="1:19" s="58" customFormat="1" outlineLevel="2" x14ac:dyDescent="0.25">
      <c r="A7" s="1128" t="str">
        <f>'CBS (Total)'!A5</f>
        <v>1.1.1</v>
      </c>
      <c r="B7" s="1129"/>
      <c r="C7" s="1129"/>
      <c r="D7" s="1129" t="str">
        <f>'CBS (Total)'!D5</f>
        <v>Permitting and Environmental Compliance</v>
      </c>
      <c r="E7" s="1129"/>
      <c r="F7" s="1129"/>
      <c r="G7" s="1129"/>
      <c r="H7" s="1129"/>
      <c r="I7" s="1183"/>
      <c r="J7" s="1184">
        <f>('CBS (Total)'!J5*'Performance &amp; Economics'!$F$39)/'CBS (CoE)'!J$2/10</f>
        <v>36.034565715152652</v>
      </c>
      <c r="K7" s="1132">
        <f t="shared" ref="K7:K52" si="0">J7/$J$54</f>
        <v>0.15672848540891893</v>
      </c>
      <c r="L7" s="1184">
        <f>('CBS (Total)'!L5*'Performance &amp; Economics'!$F$39)/'CBS (CoE)'!L$2/10</f>
        <v>7.2547222283474557</v>
      </c>
      <c r="M7" s="1132">
        <f t="shared" ref="M7:M52" si="1">L7/$L$54</f>
        <v>7.9201041628726196E-2</v>
      </c>
      <c r="N7" s="1184">
        <f>('CBS (Total)'!N5*'Performance &amp; Economics'!$F$39)/'CBS (CoE)'!N$2/10</f>
        <v>1.3914895575189585</v>
      </c>
      <c r="O7" s="1132">
        <f t="shared" ref="O7:O52" si="2">N7/$N$54</f>
        <v>2.1766726802115159E-2</v>
      </c>
      <c r="P7" s="1184">
        <f>('CBS (Total)'!P5*'Performance &amp; Economics'!$F$39)/'CBS (CoE)'!P$2/10</f>
        <v>0.69574477875947927</v>
      </c>
      <c r="Q7" s="1133">
        <f t="shared" ref="Q7:Q52" si="3">P7/$P$54</f>
        <v>1.1415370400421909E-2</v>
      </c>
      <c r="R7" s="85"/>
    </row>
    <row r="8" spans="1:19" s="58" customFormat="1" outlineLevel="2" x14ac:dyDescent="0.25">
      <c r="A8" s="1134" t="str">
        <f>'CBS (Total)'!A6</f>
        <v>1.1.1.1</v>
      </c>
      <c r="B8" s="482"/>
      <c r="C8" s="482"/>
      <c r="D8" s="482"/>
      <c r="E8" s="482" t="str">
        <f>'CBS (Total)'!E6</f>
        <v>Siting &amp; Scoping</v>
      </c>
      <c r="F8" s="482"/>
      <c r="G8" s="482"/>
      <c r="H8" s="482"/>
      <c r="I8" s="402"/>
      <c r="J8" s="1185">
        <f>('CBS (Total)'!J6*'Performance &amp; Economics'!$F$39)/'CBS (CoE)'!J$2/10</f>
        <v>4.1066778413254434</v>
      </c>
      <c r="K8" s="1086">
        <f t="shared" si="0"/>
        <v>1.7861555574753479E-2</v>
      </c>
      <c r="L8" s="1185">
        <f>('CBS (Total)'!L6*'Performance &amp; Economics'!$F$39)/'CBS (CoE)'!L$2/10</f>
        <v>0.51609294662627214</v>
      </c>
      <c r="M8" s="1086">
        <f t="shared" si="1"/>
        <v>5.6342748438144175E-3</v>
      </c>
      <c r="N8" s="1185">
        <f>('CBS (Total)'!N6*'Performance &amp; Economics'!$F$39)/'CBS (CoE)'!N$2/10</f>
        <v>0.10444446330773963</v>
      </c>
      <c r="O8" s="1086">
        <f t="shared" si="2"/>
        <v>1.633798893084496E-3</v>
      </c>
      <c r="P8" s="1185">
        <f>('CBS (Total)'!P6*'Performance &amp; Economics'!$F$39)/'CBS (CoE)'!P$2/10</f>
        <v>5.2222231653869813E-2</v>
      </c>
      <c r="Q8" s="1087">
        <f t="shared" si="3"/>
        <v>8.5683160789000652E-4</v>
      </c>
    </row>
    <row r="9" spans="1:19" s="58" customFormat="1" outlineLevel="2" x14ac:dyDescent="0.25">
      <c r="A9" s="1134" t="str">
        <f>'CBS (Total)'!A7</f>
        <v>1.1.1.2</v>
      </c>
      <c r="B9" s="482"/>
      <c r="C9" s="482"/>
      <c r="D9" s="482"/>
      <c r="E9" s="482" t="str">
        <f>'CBS (Total)'!E7</f>
        <v>Pre-Installation Studies</v>
      </c>
      <c r="F9" s="482"/>
      <c r="G9" s="482"/>
      <c r="H9" s="482"/>
      <c r="I9" s="402"/>
      <c r="J9" s="1185">
        <f>('CBS (Total)'!J7*'Performance &amp; Economics'!$F$39)/'CBS (CoE)'!J$2/10</f>
        <v>14.888239517282836</v>
      </c>
      <c r="K9" s="1086">
        <f t="shared" si="0"/>
        <v>6.4754803718024168E-2</v>
      </c>
      <c r="L9" s="1185">
        <f>('CBS (Total)'!L7*'Performance &amp; Economics'!$F$39)/'CBS (CoE)'!L$2/10</f>
        <v>2.913902456367337</v>
      </c>
      <c r="M9" s="1086">
        <f t="shared" si="1"/>
        <v>3.1811570792747913E-2</v>
      </c>
      <c r="N9" s="1185">
        <f>('CBS (Total)'!N7*'Performance &amp; Economics'!$F$39)/'CBS (CoE)'!N$2/10</f>
        <v>0.56868294047488743</v>
      </c>
      <c r="O9" s="1086">
        <f t="shared" si="2"/>
        <v>8.8957665082382339E-3</v>
      </c>
      <c r="P9" s="1185">
        <f>('CBS (Total)'!P7*'Performance &amp; Economics'!$F$39)/'CBS (CoE)'!P$2/10</f>
        <v>0.28434147023744372</v>
      </c>
      <c r="Q9" s="1087">
        <f t="shared" si="3"/>
        <v>4.6653073110349058E-3</v>
      </c>
    </row>
    <row r="10" spans="1:19" s="58" customFormat="1" outlineLevel="1" x14ac:dyDescent="0.25">
      <c r="A10" s="1134" t="str">
        <f>'CBS (Total)'!A8</f>
        <v>1.1.1.3</v>
      </c>
      <c r="B10" s="482"/>
      <c r="C10" s="482"/>
      <c r="D10" s="482"/>
      <c r="E10" s="482" t="str">
        <f>'CBS (Total)'!E8</f>
        <v>Post-Installation Studies</v>
      </c>
      <c r="F10" s="482"/>
      <c r="G10" s="482"/>
      <c r="H10" s="482"/>
      <c r="I10" s="402"/>
      <c r="J10" s="1185">
        <f>('CBS (Total)'!J8*'Performance &amp; Economics'!$F$39)/'CBS (CoE)'!J$2/10</f>
        <v>5.7003140185562122</v>
      </c>
      <c r="K10" s="1086">
        <f t="shared" si="0"/>
        <v>2.4792905499284677E-2</v>
      </c>
      <c r="L10" s="1185">
        <f>('CBS (Total)'!L8*'Performance &amp; Economics'!$F$39)/'CBS (CoE)'!L$2/10</f>
        <v>2.5559472534816563</v>
      </c>
      <c r="M10" s="1086">
        <f t="shared" si="1"/>
        <v>2.7903712706301806E-2</v>
      </c>
      <c r="N10" s="1185">
        <f>('CBS (Total)'!N8*'Performance &amp; Economics'!$F$39)/'CBS (CoE)'!N$2/10</f>
        <v>0.43763701174721892</v>
      </c>
      <c r="O10" s="1086">
        <f t="shared" si="2"/>
        <v>6.8458474745441917E-3</v>
      </c>
      <c r="P10" s="1185">
        <f>('CBS (Total)'!P8*'Performance &amp; Economics'!$F$39)/'CBS (CoE)'!P$2/10</f>
        <v>0.21881850587360946</v>
      </c>
      <c r="Q10" s="1087">
        <f t="shared" si="3"/>
        <v>3.5902451175672816E-3</v>
      </c>
    </row>
    <row r="11" spans="1:19" s="58" customFormat="1" outlineLevel="1" x14ac:dyDescent="0.25">
      <c r="A11" s="1134" t="str">
        <f>'CBS (Total)'!A9</f>
        <v>1.1.1.4</v>
      </c>
      <c r="B11" s="482"/>
      <c r="C11" s="482"/>
      <c r="D11" s="482"/>
      <c r="E11" s="482" t="str">
        <f>'CBS (Total)'!E9</f>
        <v>NEPA &amp; Process</v>
      </c>
      <c r="F11" s="482"/>
      <c r="G11" s="482"/>
      <c r="H11" s="482"/>
      <c r="I11" s="402"/>
      <c r="J11" s="1185">
        <f>('CBS (Total)'!J9*'Performance &amp; Economics'!$F$39)/'CBS (CoE)'!J$2/10</f>
        <v>11.339334337988165</v>
      </c>
      <c r="K11" s="1086">
        <f t="shared" si="0"/>
        <v>4.9319220616856618E-2</v>
      </c>
      <c r="L11" s="1185">
        <f>('CBS (Total)'!L9*'Performance &amp; Economics'!$F$39)/'CBS (CoE)'!L$2/10</f>
        <v>1.2687795718721893</v>
      </c>
      <c r="M11" s="1086">
        <f t="shared" si="1"/>
        <v>1.3851483285862049E-2</v>
      </c>
      <c r="N11" s="1185">
        <f>('CBS (Total)'!N9*'Performance &amp; Economics'!$F$39)/'CBS (CoE)'!N$2/10</f>
        <v>0.28072514198911236</v>
      </c>
      <c r="O11" s="1086">
        <f t="shared" si="2"/>
        <v>4.3913139262482343E-3</v>
      </c>
      <c r="P11" s="1185">
        <f>('CBS (Total)'!P9*'Performance &amp; Economics'!$F$39)/'CBS (CoE)'!P$2/10</f>
        <v>0.14036257099455618</v>
      </c>
      <c r="Q11" s="1087">
        <f t="shared" si="3"/>
        <v>2.3029863639297122E-3</v>
      </c>
    </row>
    <row r="12" spans="1:19" s="57" customFormat="1" x14ac:dyDescent="0.25">
      <c r="A12" s="1134" t="str">
        <f>'CBS (Total)'!A10</f>
        <v>1.1.2</v>
      </c>
      <c r="B12" s="482"/>
      <c r="C12" s="482"/>
      <c r="D12" s="482" t="str">
        <f>'CBS (Total)'!D10</f>
        <v>Site Assessment</v>
      </c>
      <c r="E12" s="482"/>
      <c r="F12" s="482"/>
      <c r="G12" s="482"/>
      <c r="H12" s="482"/>
      <c r="I12" s="402"/>
      <c r="J12" s="1185">
        <f>('CBS (Total)'!J10*'Performance &amp; Economics'!$F$39)/'CBS (CoE)'!J$2/10</f>
        <v>2.3777419526477819</v>
      </c>
      <c r="K12" s="1086">
        <f t="shared" si="0"/>
        <v>1.0341734041629578E-2</v>
      </c>
      <c r="L12" s="1185">
        <f>('CBS (Total)'!L10*'Performance &amp; Economics'!$F$39)/'CBS (CoE)'!L$2/10</f>
        <v>0.36048172916358245</v>
      </c>
      <c r="M12" s="1086">
        <f t="shared" si="1"/>
        <v>3.9354406053370818E-3</v>
      </c>
      <c r="N12" s="1185">
        <f>('CBS (Total)'!N10*'Performance &amp; Economics'!$F$39)/'CBS (CoE)'!N$2/10</f>
        <v>7.2096345832716485E-2</v>
      </c>
      <c r="O12" s="1086">
        <f t="shared" si="2"/>
        <v>1.1277852964772768E-3</v>
      </c>
      <c r="P12" s="1185">
        <f>('CBS (Total)'!P10*'Performance &amp; Economics'!$F$39)/'CBS (CoE)'!P$2/10</f>
        <v>3.6048172916358243E-2</v>
      </c>
      <c r="Q12" s="1087">
        <f t="shared" si="3"/>
        <v>5.9145718180221411E-4</v>
      </c>
    </row>
    <row r="13" spans="1:19" s="58" customFormat="1" outlineLevel="1" x14ac:dyDescent="0.25">
      <c r="A13" s="1136" t="str">
        <f>'CBS (Total)'!A11</f>
        <v>1.1.3</v>
      </c>
      <c r="B13" s="183"/>
      <c r="C13" s="183"/>
      <c r="D13" s="183" t="str">
        <f>'CBS (Total)'!D11</f>
        <v>Project Design, Engineering, and Management</v>
      </c>
      <c r="E13" s="183"/>
      <c r="F13" s="183"/>
      <c r="G13" s="183"/>
      <c r="H13" s="183"/>
      <c r="I13" s="899"/>
      <c r="J13" s="1177">
        <f>('CBS (Total)'!J11*'Performance &amp; Economics'!$F$39)/'CBS (CoE)'!J$2/10</f>
        <v>9.9531231076268476</v>
      </c>
      <c r="K13" s="1090">
        <f t="shared" si="0"/>
        <v>4.3290043290043295E-2</v>
      </c>
      <c r="L13" s="1177">
        <f>('CBS (Total)'!L11*'Performance &amp; Economics'!$F$39)/'CBS (CoE)'!L$2/10</f>
        <v>2.4253880875329896</v>
      </c>
      <c r="M13" s="1090">
        <f t="shared" si="1"/>
        <v>2.6478375992939101E-2</v>
      </c>
      <c r="N13" s="1177">
        <f>('CBS (Total)'!N11*'Performance &amp; Economics'!$F$39)/'CBS (CoE)'!N$2/10</f>
        <v>1.0275876286398253</v>
      </c>
      <c r="O13" s="1090">
        <f t="shared" si="2"/>
        <v>1.6074298981961062E-2</v>
      </c>
      <c r="P13" s="1177">
        <f>('CBS (Total)'!P11*'Performance &amp; Economics'!$F$39)/'CBS (CoE)'!P$2/10</f>
        <v>0.59200555937078947</v>
      </c>
      <c r="Q13" s="1139">
        <f t="shared" si="3"/>
        <v>9.7132784113393537E-3</v>
      </c>
    </row>
    <row r="14" spans="1:19" s="427" customFormat="1" outlineLevel="1" x14ac:dyDescent="0.25">
      <c r="A14" s="1178">
        <f>'CBS (Total)'!A12</f>
        <v>1.2</v>
      </c>
      <c r="B14" s="1179"/>
      <c r="C14" s="1179" t="str">
        <f>'CBS (Total)'!C12</f>
        <v>Infrastructure</v>
      </c>
      <c r="D14" s="1179"/>
      <c r="E14" s="1179"/>
      <c r="F14" s="1179"/>
      <c r="G14" s="1179"/>
      <c r="H14" s="1179"/>
      <c r="I14" s="1179"/>
      <c r="J14" s="1180">
        <f>('CBS (Total)'!J12*'Performance &amp; Economics'!$F$39)/'CBS (CoE)'!J$2/10</f>
        <v>13.32279844164923</v>
      </c>
      <c r="K14" s="1181">
        <f t="shared" si="0"/>
        <v>5.7946085369080837E-2</v>
      </c>
      <c r="L14" s="1180">
        <f>('CBS (Total)'!L12*'Performance &amp; Economics'!$F$39)/'CBS (CoE)'!L$2/10</f>
        <v>9.3264492587474557</v>
      </c>
      <c r="M14" s="1181">
        <f t="shared" si="1"/>
        <v>0.10181843945781495</v>
      </c>
      <c r="N14" s="1180">
        <f>('CBS (Total)'!N12*'Performance &amp; Economics'!$F$39)/'CBS (CoE)'!N$2/10</f>
        <v>3.4780496631070292</v>
      </c>
      <c r="O14" s="1181">
        <f t="shared" si="2"/>
        <v>5.4406270181447558E-2</v>
      </c>
      <c r="P14" s="1180">
        <f>('CBS (Total)'!P12*'Performance &amp; Economics'!$F$39)/'CBS (CoE)'!P$2/10</f>
        <v>4.0686757478684017</v>
      </c>
      <c r="Q14" s="1182">
        <f t="shared" si="3"/>
        <v>6.6756434426923278E-2</v>
      </c>
    </row>
    <row r="15" spans="1:19" s="58" customFormat="1" outlineLevel="1" x14ac:dyDescent="0.25">
      <c r="A15" s="1128" t="str">
        <f>'CBS (Total)'!A13</f>
        <v>1.2.1</v>
      </c>
      <c r="B15" s="1129"/>
      <c r="C15" s="1129"/>
      <c r="D15" s="1129" t="str">
        <f>'CBS (Total)'!D13</f>
        <v>Subsea Cables</v>
      </c>
      <c r="E15" s="1129"/>
      <c r="F15" s="1129"/>
      <c r="G15" s="1129"/>
      <c r="H15" s="1129"/>
      <c r="I15" s="1130"/>
      <c r="J15" s="1184">
        <f>('CBS (Total)'!J13*'Performance &amp; Economics'!$F$39)/'CBS (CoE)'!J$2/10</f>
        <v>12.111634946953844</v>
      </c>
      <c r="K15" s="1132">
        <f t="shared" si="0"/>
        <v>5.267825942643712E-2</v>
      </c>
      <c r="L15" s="1184">
        <f>('CBS (Total)'!L13*'Performance &amp; Economics'!$F$39)/'CBS (CoE)'!L$2/10</f>
        <v>2.1820556888236684</v>
      </c>
      <c r="M15" s="1132">
        <f t="shared" si="1"/>
        <v>2.382187463655502E-2</v>
      </c>
      <c r="N15" s="1184">
        <f>('CBS (Total)'!N13*'Performance &amp; Economics'!$F$39)/'CBS (CoE)'!N$2/10</f>
        <v>1.9025564208170411</v>
      </c>
      <c r="O15" s="1132">
        <f t="shared" si="2"/>
        <v>2.976121927308847E-2</v>
      </c>
      <c r="P15" s="1184">
        <f>('CBS (Total)'!P13*'Performance &amp; Economics'!$F$39)/'CBS (CoE)'!P$2/10</f>
        <v>2.4394892251455618</v>
      </c>
      <c r="Q15" s="1133">
        <f t="shared" si="3"/>
        <v>4.0025701870918147E-2</v>
      </c>
    </row>
    <row r="16" spans="1:19" s="58" customFormat="1" outlineLevel="1" x14ac:dyDescent="0.25">
      <c r="A16" s="1134" t="str">
        <f>'CBS (Total)'!A14</f>
        <v>1.2.2</v>
      </c>
      <c r="B16" s="482"/>
      <c r="C16" s="482"/>
      <c r="D16" s="482" t="str">
        <f>'CBS (Total)'!D14</f>
        <v>Terminations and Connectors</v>
      </c>
      <c r="E16" s="482"/>
      <c r="F16" s="482"/>
      <c r="G16" s="482"/>
      <c r="H16" s="482"/>
      <c r="I16" s="1094"/>
      <c r="J16" s="1185">
        <f>('CBS (Total)'!J14*'Performance &amp; Economics'!$F$39)/'CBS (CoE)'!J$2/10</f>
        <v>1.2111634946953844</v>
      </c>
      <c r="K16" s="1086">
        <f t="shared" si="0"/>
        <v>5.2678259426437125E-3</v>
      </c>
      <c r="L16" s="1185">
        <f>('CBS (Total)'!L14*'Performance &amp; Economics'!$F$39)/'CBS (CoE)'!L$2/10</f>
        <v>0.21820556888236683</v>
      </c>
      <c r="M16" s="1086">
        <f t="shared" si="1"/>
        <v>2.382187463655502E-3</v>
      </c>
      <c r="N16" s="1185">
        <f>('CBS (Total)'!N14*'Performance &amp; Economics'!$F$39)/'CBS (CoE)'!N$2/10</f>
        <v>0.19025564208170415</v>
      </c>
      <c r="O16" s="1086">
        <f t="shared" si="2"/>
        <v>2.9761219273088477E-3</v>
      </c>
      <c r="P16" s="1185">
        <f>('CBS (Total)'!P14*'Performance &amp; Economics'!$F$39)/'CBS (CoE)'!P$2/10</f>
        <v>0.24394892251455619</v>
      </c>
      <c r="Q16" s="1087">
        <f t="shared" si="3"/>
        <v>4.0025701870918147E-3</v>
      </c>
    </row>
    <row r="17" spans="1:27" s="58" customFormat="1" outlineLevel="1" x14ac:dyDescent="0.25">
      <c r="A17" s="1134" t="str">
        <f>'CBS (Total)'!A15</f>
        <v>1.2.3</v>
      </c>
      <c r="B17" s="482"/>
      <c r="C17" s="482"/>
      <c r="D17" s="482" t="str">
        <f>'CBS (Total)'!D15</f>
        <v>Dockside Improvements</v>
      </c>
      <c r="E17" s="482"/>
      <c r="F17" s="482"/>
      <c r="G17" s="482"/>
      <c r="H17" s="482"/>
      <c r="I17" s="1094"/>
      <c r="J17" s="1185">
        <f>('CBS (Total)'!J15*'Performance &amp; Economics'!$F$39)/'CBS (CoE)'!J$2/10</f>
        <v>0</v>
      </c>
      <c r="K17" s="1086">
        <f t="shared" si="0"/>
        <v>0</v>
      </c>
      <c r="L17" s="1185">
        <f>('CBS (Total)'!L15*'Performance &amp; Economics'!$F$39)/'CBS (CoE)'!L$2/10</f>
        <v>0</v>
      </c>
      <c r="M17" s="1086">
        <f t="shared" si="1"/>
        <v>0</v>
      </c>
      <c r="N17" s="1185">
        <f>('CBS (Total)'!N15*'Performance &amp; Economics'!$F$39)/'CBS (CoE)'!N$2/10</f>
        <v>0</v>
      </c>
      <c r="O17" s="1086">
        <f t="shared" si="2"/>
        <v>0</v>
      </c>
      <c r="P17" s="1185">
        <f>('CBS (Total)'!P15*'Performance &amp; Economics'!$F$39)/'CBS (CoE)'!P$2/10</f>
        <v>0</v>
      </c>
      <c r="Q17" s="1087">
        <f t="shared" si="3"/>
        <v>0</v>
      </c>
    </row>
    <row r="18" spans="1:27" s="57" customFormat="1" x14ac:dyDescent="0.25">
      <c r="A18" s="1134" t="str">
        <f>'CBS (Total)'!A16</f>
        <v>1.2.4</v>
      </c>
      <c r="B18" s="482"/>
      <c r="C18" s="482"/>
      <c r="D18" s="482" t="str">
        <f>'CBS (Total)'!D16</f>
        <v>Dedicated O&amp;M Vessel</v>
      </c>
      <c r="E18" s="482"/>
      <c r="F18" s="482"/>
      <c r="G18" s="482"/>
      <c r="H18" s="482"/>
      <c r="I18" s="1094"/>
      <c r="J18" s="1185">
        <f>('CBS (Total)'!J16*'Performance &amp; Economics'!$F$39)/'CBS (CoE)'!J$2/10</f>
        <v>0</v>
      </c>
      <c r="K18" s="1086">
        <f t="shared" si="0"/>
        <v>0</v>
      </c>
      <c r="L18" s="1185">
        <f>('CBS (Total)'!L16*'Performance &amp; Economics'!$F$39)/'CBS (CoE)'!L$2/10</f>
        <v>6.9261880010414192</v>
      </c>
      <c r="M18" s="1086">
        <f t="shared" si="1"/>
        <v>7.5614377357604415E-2</v>
      </c>
      <c r="N18" s="1185">
        <f>('CBS (Total)'!N16*'Performance &amp; Economics'!$F$39)/'CBS (CoE)'!N$2/10</f>
        <v>1.3852376002082838</v>
      </c>
      <c r="O18" s="1086">
        <f t="shared" si="2"/>
        <v>2.1668928981050238E-2</v>
      </c>
      <c r="P18" s="1185">
        <f>('CBS (Total)'!P16*'Performance &amp; Economics'!$F$39)/'CBS (CoE)'!P$2/10</f>
        <v>1.3852376002082838</v>
      </c>
      <c r="Q18" s="1087">
        <f t="shared" si="3"/>
        <v>2.272816236891332E-2</v>
      </c>
    </row>
    <row r="19" spans="1:27" s="58" customFormat="1" outlineLevel="1" x14ac:dyDescent="0.25">
      <c r="A19" s="1136" t="str">
        <f>'CBS (Total)'!A17</f>
        <v>1.2.5</v>
      </c>
      <c r="B19" s="183"/>
      <c r="C19" s="183"/>
      <c r="D19" s="183" t="str">
        <f>'CBS (Total)'!D17</f>
        <v>Other</v>
      </c>
      <c r="E19" s="183"/>
      <c r="F19" s="183"/>
      <c r="G19" s="183"/>
      <c r="H19" s="183"/>
      <c r="I19" s="1137"/>
      <c r="J19" s="1177">
        <f>('CBS (Total)'!J17*'Performance &amp; Economics'!$F$39)/'CBS (CoE)'!J$2/10</f>
        <v>0</v>
      </c>
      <c r="K19" s="1090">
        <f t="shared" si="0"/>
        <v>0</v>
      </c>
      <c r="L19" s="1177">
        <f>('CBS (Total)'!L17*'Performance &amp; Economics'!$F$39)/'CBS (CoE)'!L$2/10</f>
        <v>0</v>
      </c>
      <c r="M19" s="1090">
        <f t="shared" si="1"/>
        <v>0</v>
      </c>
      <c r="N19" s="1177">
        <f>('CBS (Total)'!N17*'Performance &amp; Economics'!$F$39)/'CBS (CoE)'!N$2/10</f>
        <v>0</v>
      </c>
      <c r="O19" s="1090">
        <f t="shared" si="2"/>
        <v>0</v>
      </c>
      <c r="P19" s="1177">
        <f>('CBS (Total)'!P17*'Performance &amp; Economics'!$F$39)/'CBS (CoE)'!P$2/10</f>
        <v>0</v>
      </c>
      <c r="Q19" s="1139">
        <f t="shared" si="3"/>
        <v>0</v>
      </c>
    </row>
    <row r="20" spans="1:27" s="427" customFormat="1" outlineLevel="1" x14ac:dyDescent="0.25">
      <c r="A20" s="1178">
        <f>'CBS (Total)'!A18</f>
        <v>1.3</v>
      </c>
      <c r="B20" s="1179"/>
      <c r="C20" s="1179" t="str">
        <f>'CBS (Total)'!C18</f>
        <v>Mooring/Foundation</v>
      </c>
      <c r="D20" s="1179"/>
      <c r="E20" s="1179"/>
      <c r="F20" s="1179"/>
      <c r="G20" s="1179"/>
      <c r="H20" s="1179"/>
      <c r="I20" s="1186"/>
      <c r="J20" s="1180">
        <f>('CBS (Total)'!J18*'Performance &amp; Economics'!$F$39)/'CBS (CoE)'!J$2/10</f>
        <v>15.494039975454758</v>
      </c>
      <c r="K20" s="1181">
        <f t="shared" si="0"/>
        <v>6.7389667948658957E-2</v>
      </c>
      <c r="L20" s="1180">
        <f>('CBS (Total)'!L18*'Performance &amp; Economics'!$F$39)/'CBS (CoE)'!L$2/10</f>
        <v>10.211785639379226</v>
      </c>
      <c r="M20" s="1181">
        <f t="shared" si="1"/>
        <v>0.11148380793517085</v>
      </c>
      <c r="N20" s="1180">
        <f>('CBS (Total)'!N18*'Performance &amp; Economics'!$F$39)/'CBS (CoE)'!N$2/10</f>
        <v>9.21717865164727</v>
      </c>
      <c r="O20" s="1181">
        <f t="shared" si="2"/>
        <v>0.14418204471071699</v>
      </c>
      <c r="P20" s="1180">
        <f>('CBS (Total)'!P18*'Performance &amp; Economics'!$F$39)/'CBS (CoE)'!P$2/10</f>
        <v>8.918177688786491</v>
      </c>
      <c r="Q20" s="1182">
        <f t="shared" si="3"/>
        <v>0.14632420497038379</v>
      </c>
    </row>
    <row r="21" spans="1:27" s="58" customFormat="1" outlineLevel="1" x14ac:dyDescent="0.25">
      <c r="A21" s="1128" t="str">
        <f>'CBS (Total)'!A19</f>
        <v>1.3.1</v>
      </c>
      <c r="B21" s="1129"/>
      <c r="C21" s="1129"/>
      <c r="D21" s="1129" t="str">
        <f>'CBS (Total)'!D19</f>
        <v>Mooring lines/chain</v>
      </c>
      <c r="E21" s="1129"/>
      <c r="F21" s="1129"/>
      <c r="G21" s="1129"/>
      <c r="H21" s="1129"/>
      <c r="I21" s="1130"/>
      <c r="J21" s="1184">
        <f>('CBS (Total)'!J19*'Performance &amp; Economics'!$F$39)/'CBS (CoE)'!J$2/10</f>
        <v>4.3014522692997899</v>
      </c>
      <c r="K21" s="1132">
        <f t="shared" si="0"/>
        <v>1.870870609500996E-2</v>
      </c>
      <c r="L21" s="1184">
        <f>('CBS (Total)'!L19*'Performance &amp; Economics'!$F$39)/'CBS (CoE)'!L$2/10</f>
        <v>3.8713070423698119</v>
      </c>
      <c r="M21" s="1132">
        <f t="shared" si="1"/>
        <v>4.2263720176941223E-2</v>
      </c>
      <c r="N21" s="1184">
        <f>('CBS (Total)'!N19*'Performance &amp; Economics'!$F$39)/'CBS (CoE)'!N$2/10</f>
        <v>3.8713070423698119</v>
      </c>
      <c r="O21" s="1132">
        <f t="shared" si="2"/>
        <v>6.0557898047481441E-2</v>
      </c>
      <c r="P21" s="1184">
        <f>('CBS (Total)'!P19*'Performance &amp; Economics'!$F$39)/'CBS (CoE)'!P$2/10</f>
        <v>3.8713070423698119</v>
      </c>
      <c r="Q21" s="1133">
        <f t="shared" si="3"/>
        <v>6.3518124995790529E-2</v>
      </c>
    </row>
    <row r="22" spans="1:27" s="58" customFormat="1" outlineLevel="1" x14ac:dyDescent="0.25">
      <c r="A22" s="1134" t="str">
        <f>'CBS (Total)'!A20</f>
        <v>1.3.2</v>
      </c>
      <c r="B22" s="482"/>
      <c r="C22" s="482"/>
      <c r="D22" s="482" t="str">
        <f>'CBS (Total)'!D20</f>
        <v>Anchors</v>
      </c>
      <c r="E22" s="482"/>
      <c r="F22" s="482"/>
      <c r="G22" s="482"/>
      <c r="H22" s="482"/>
      <c r="I22" s="1094"/>
      <c r="J22" s="1185">
        <f>('CBS (Total)'!J20*'Performance &amp; Economics'!$F$39)/'CBS (CoE)'!J$2/10</f>
        <v>9.202994232581478</v>
      </c>
      <c r="K22" s="1086">
        <f t="shared" si="0"/>
        <v>4.0027438063253512E-2</v>
      </c>
      <c r="L22" s="1185">
        <f>('CBS (Total)'!L20*'Performance &amp; Economics'!$F$39)/'CBS (CoE)'!L$2/10</f>
        <v>4.5498444707932721</v>
      </c>
      <c r="M22" s="1086">
        <f t="shared" si="1"/>
        <v>4.9671429173052145E-2</v>
      </c>
      <c r="N22" s="1185">
        <f>('CBS (Total)'!N20*'Performance &amp; Economics'!$F$39)/'CBS (CoE)'!N$2/10</f>
        <v>3.5552374830613176</v>
      </c>
      <c r="O22" s="1086">
        <f t="shared" si="2"/>
        <v>5.5613700147642588E-2</v>
      </c>
      <c r="P22" s="1185">
        <f>('CBS (Total)'!P20*'Performance &amp; Economics'!$F$39)/'CBS (CoE)'!P$2/10</f>
        <v>3.2562365202005368</v>
      </c>
      <c r="Q22" s="1087">
        <f t="shared" si="3"/>
        <v>5.3426410264618314E-2</v>
      </c>
      <c r="R22" s="97"/>
    </row>
    <row r="23" spans="1:27" s="58" customFormat="1" outlineLevel="1" x14ac:dyDescent="0.25">
      <c r="A23" s="1134" t="str">
        <f>'CBS (Total)'!A21</f>
        <v>1.3.3</v>
      </c>
      <c r="B23" s="482"/>
      <c r="C23" s="482"/>
      <c r="D23" s="482" t="str">
        <f>'CBS (Total)'!D21</f>
        <v>Buoyancy</v>
      </c>
      <c r="E23" s="482"/>
      <c r="F23" s="482"/>
      <c r="G23" s="482"/>
      <c r="H23" s="482"/>
      <c r="I23" s="1094"/>
      <c r="J23" s="1185">
        <f>('CBS (Total)'!J21*'Performance &amp; Economics'!$F$39)/'CBS (CoE)'!J$2/10</f>
        <v>0.73552438949112409</v>
      </c>
      <c r="K23" s="1086">
        <f t="shared" si="0"/>
        <v>3.1990845805528615E-3</v>
      </c>
      <c r="L23" s="1185">
        <f>('CBS (Total)'!L21*'Performance &amp; Economics'!$F$39)/'CBS (CoE)'!L$2/10</f>
        <v>0.66197195054201186</v>
      </c>
      <c r="M23" s="1086">
        <f t="shared" si="1"/>
        <v>7.2268608447975911E-3</v>
      </c>
      <c r="N23" s="1185">
        <f>('CBS (Total)'!N21*'Performance &amp; Economics'!$F$39)/'CBS (CoE)'!N$2/10</f>
        <v>0.66197195054201174</v>
      </c>
      <c r="O23" s="1086">
        <f t="shared" si="2"/>
        <v>1.0355063406873566E-2</v>
      </c>
      <c r="P23" s="1185">
        <f>('CBS (Total)'!P21*'Performance &amp; Economics'!$F$39)/'CBS (CoE)'!P$2/10</f>
        <v>0.66197195054201174</v>
      </c>
      <c r="Q23" s="1087">
        <f t="shared" si="3"/>
        <v>1.0861245733816985E-2</v>
      </c>
      <c r="R23" s="85"/>
      <c r="S23" s="85"/>
      <c r="T23" s="85"/>
      <c r="U23" s="85"/>
    </row>
    <row r="24" spans="1:27" s="57" customFormat="1" x14ac:dyDescent="0.25">
      <c r="A24" s="1136" t="str">
        <f>'CBS (Total)'!A22</f>
        <v>1.3.4</v>
      </c>
      <c r="B24" s="183"/>
      <c r="C24" s="183"/>
      <c r="D24" s="183" t="str">
        <f>'CBS (Total)'!D22</f>
        <v>Connecting Hardware (shackles etc.)</v>
      </c>
      <c r="E24" s="183"/>
      <c r="F24" s="183"/>
      <c r="G24" s="183"/>
      <c r="H24" s="183"/>
      <c r="I24" s="1137"/>
      <c r="J24" s="1177">
        <f>('CBS (Total)'!J22*'Performance &amp; Economics'!$F$39)/'CBS (CoE)'!J$2/10</f>
        <v>1.2540690840823667</v>
      </c>
      <c r="K24" s="1090">
        <f t="shared" si="0"/>
        <v>5.4544392098426295E-3</v>
      </c>
      <c r="L24" s="1177">
        <f>('CBS (Total)'!L22*'Performance &amp; Economics'!$F$39)/'CBS (CoE)'!L$2/10</f>
        <v>1.1286621756741302</v>
      </c>
      <c r="M24" s="1090">
        <f t="shared" si="1"/>
        <v>1.2321797740379893E-2</v>
      </c>
      <c r="N24" s="1177">
        <f>('CBS (Total)'!N22*'Performance &amp; Economics'!$F$39)/'CBS (CoE)'!N$2/10</f>
        <v>1.12866217567413</v>
      </c>
      <c r="O24" s="1090">
        <f t="shared" si="2"/>
        <v>1.7655383108719429E-2</v>
      </c>
      <c r="P24" s="1177">
        <f>('CBS (Total)'!P22*'Performance &amp; Economics'!$F$39)/'CBS (CoE)'!P$2/10</f>
        <v>1.12866217567413</v>
      </c>
      <c r="Q24" s="1139">
        <f t="shared" si="3"/>
        <v>1.8518423976157959E-2</v>
      </c>
      <c r="R24" s="89"/>
      <c r="S24" s="89"/>
      <c r="T24" s="89"/>
      <c r="U24" s="89"/>
      <c r="V24" s="90"/>
      <c r="W24" s="89"/>
      <c r="X24" s="89"/>
      <c r="Y24" s="89"/>
    </row>
    <row r="25" spans="1:27" s="58" customFormat="1" outlineLevel="1" x14ac:dyDescent="0.25">
      <c r="A25" s="1178">
        <f>'CBS (Total)'!A23</f>
        <v>1.4</v>
      </c>
      <c r="B25" s="1179"/>
      <c r="C25" s="1179" t="str">
        <f>'CBS (Total)'!C23</f>
        <v>Device Structural Components</v>
      </c>
      <c r="D25" s="1179"/>
      <c r="E25" s="1179"/>
      <c r="F25" s="1179"/>
      <c r="G25" s="1179"/>
      <c r="H25" s="1179"/>
      <c r="I25" s="1186">
        <f>'CBS (Total)'!I23</f>
        <v>799.54600000000005</v>
      </c>
      <c r="J25" s="1180">
        <f>('CBS (Total)'!J23*'Performance &amp; Economics'!$F$39)/'CBS (CoE)'!J$2/10</f>
        <v>46.792169657779496</v>
      </c>
      <c r="K25" s="1181">
        <f t="shared" si="0"/>
        <v>0.20351753195618846</v>
      </c>
      <c r="L25" s="1180">
        <f>('CBS (Total)'!L23*'Performance &amp; Economics'!$F$39)/'CBS (CoE)'!L$2/10</f>
        <v>32.900180003784762</v>
      </c>
      <c r="M25" s="1181">
        <f t="shared" si="1"/>
        <v>0.35917688424935018</v>
      </c>
      <c r="N25" s="1180">
        <f>('CBS (Total)'!N23*'Performance &amp; Economics'!$F$39)/'CBS (CoE)'!N$2/10</f>
        <v>29.144286787106807</v>
      </c>
      <c r="O25" s="1181">
        <f t="shared" si="2"/>
        <v>0.45589686599484619</v>
      </c>
      <c r="P25" s="1180">
        <f>('CBS (Total)'!P23*'Performance &amp; Economics'!$F$39)/'CBS (CoE)'!P$2/10</f>
        <v>28.313656556495335</v>
      </c>
      <c r="Q25" s="1182">
        <f t="shared" si="3"/>
        <v>0.46455379450926981</v>
      </c>
      <c r="R25" s="132"/>
      <c r="S25" s="132"/>
      <c r="T25" s="132"/>
      <c r="U25" s="132"/>
      <c r="V25" s="85"/>
      <c r="W25" s="85"/>
      <c r="X25" s="85"/>
      <c r="Y25" s="85"/>
      <c r="AA25" s="97"/>
    </row>
    <row r="26" spans="1:27" s="427" customFormat="1" outlineLevel="1" x14ac:dyDescent="0.25">
      <c r="A26" s="1128" t="str">
        <f>'CBS (Total)'!A24</f>
        <v>1.4.1</v>
      </c>
      <c r="B26" s="1129"/>
      <c r="C26" s="1129"/>
      <c r="D26" s="1129" t="str">
        <f>'CBS (Total)'!D24</f>
        <v xml:space="preserve">Surge Frame </v>
      </c>
      <c r="E26" s="1129"/>
      <c r="F26" s="1129"/>
      <c r="G26" s="1129"/>
      <c r="H26" s="1129"/>
      <c r="I26" s="1130">
        <f>'CBS (Total)'!I24</f>
        <v>301</v>
      </c>
      <c r="J26" s="1184">
        <f>('CBS (Total)'!J24*'Performance &amp; Economics'!$F$39)/'CBS (CoE)'!J$2/10</f>
        <v>15.776822854605115</v>
      </c>
      <c r="K26" s="1132">
        <f t="shared" si="0"/>
        <v>6.8619601804367172E-2</v>
      </c>
      <c r="L26" s="1184">
        <f>('CBS (Total)'!L24*'Performance &amp; Economics'!$F$39)/'CBS (CoE)'!L$2/10</f>
        <v>11.092888310171286</v>
      </c>
      <c r="M26" s="1132">
        <f t="shared" si="1"/>
        <v>0.12110295627911508</v>
      </c>
      <c r="N26" s="1184">
        <f>('CBS (Total)'!N24*'Performance &amp; Economics'!$F$39)/'CBS (CoE)'!N$2/10</f>
        <v>9.8265212582966264</v>
      </c>
      <c r="O26" s="1132">
        <f t="shared" si="2"/>
        <v>0.15371384031504337</v>
      </c>
      <c r="P26" s="1184">
        <f>('CBS (Total)'!P24*'Performance &amp; Economics'!$F$39)/'CBS (CoE)'!P$2/10</f>
        <v>9.54645931413204</v>
      </c>
      <c r="Q26" s="1133">
        <f t="shared" si="3"/>
        <v>0.15663267969855413</v>
      </c>
      <c r="R26" s="130"/>
      <c r="S26" s="615"/>
      <c r="T26" s="613"/>
      <c r="U26" s="130"/>
      <c r="V26" s="344"/>
      <c r="W26" s="344"/>
      <c r="X26" s="344"/>
      <c r="Y26" s="344"/>
    </row>
    <row r="27" spans="1:27" s="58" customFormat="1" outlineLevel="1" x14ac:dyDescent="0.25">
      <c r="A27" s="1134" t="str">
        <f>'CBS (Total)'!A25</f>
        <v>1.4.2</v>
      </c>
      <c r="B27" s="482"/>
      <c r="C27" s="482"/>
      <c r="D27" s="482" t="str">
        <f>'CBS (Total)'!D25</f>
        <v>Surge Flap</v>
      </c>
      <c r="E27" s="482"/>
      <c r="F27" s="482"/>
      <c r="G27" s="482"/>
      <c r="H27" s="482"/>
      <c r="I27" s="1094">
        <f>'CBS (Total)'!I25</f>
        <v>498.54599999999999</v>
      </c>
      <c r="J27" s="1185">
        <f>('CBS (Total)'!J25*'Performance &amp; Economics'!$F$39)/'CBS (CoE)'!J$2/10</f>
        <v>31.015346803174374</v>
      </c>
      <c r="K27" s="1086">
        <f t="shared" si="0"/>
        <v>0.13489793015182125</v>
      </c>
      <c r="L27" s="1185">
        <f>('CBS (Total)'!L25*'Performance &amp; Economics'!$F$39)/'CBS (CoE)'!L$2/10</f>
        <v>21.807291693613475</v>
      </c>
      <c r="M27" s="1086">
        <f t="shared" si="1"/>
        <v>0.23807392797023513</v>
      </c>
      <c r="N27" s="1185">
        <f>('CBS (Total)'!N25*'Performance &amp; Economics'!$F$39)/'CBS (CoE)'!N$2/10</f>
        <v>19.317765528810177</v>
      </c>
      <c r="O27" s="1086">
        <f t="shared" si="2"/>
        <v>0.30218302567980276</v>
      </c>
      <c r="P27" s="1185">
        <f>('CBS (Total)'!P25*'Performance &amp; Economics'!$F$39)/'CBS (CoE)'!P$2/10</f>
        <v>18.767197242363292</v>
      </c>
      <c r="Q27" s="1087">
        <f t="shared" si="3"/>
        <v>0.30792111481071566</v>
      </c>
      <c r="R27" s="132"/>
      <c r="S27" s="132"/>
      <c r="T27" s="132"/>
      <c r="U27" s="132"/>
      <c r="V27" s="85"/>
      <c r="W27" s="85"/>
      <c r="X27" s="85"/>
      <c r="Y27" s="85"/>
    </row>
    <row r="28" spans="1:27" s="58" customFormat="1" outlineLevel="1" x14ac:dyDescent="0.25">
      <c r="A28" s="1134" t="str">
        <f>'CBS (Total)'!A26</f>
        <v>1.4.2.1</v>
      </c>
      <c r="B28" s="482"/>
      <c r="C28" s="482"/>
      <c r="D28" s="482" t="str">
        <f>'CBS (Total)'!D26</f>
        <v>Fiberglass Tubing</v>
      </c>
      <c r="E28" s="482"/>
      <c r="F28" s="482"/>
      <c r="G28" s="482"/>
      <c r="H28" s="482"/>
      <c r="I28" s="1094">
        <f>'CBS (Total)'!I26</f>
        <v>71.680000000000007</v>
      </c>
      <c r="J28" s="1185">
        <f>('CBS (Total)'!J26*'Performance &amp; Economics'!$F$39)/'CBS (CoE)'!J$2/10</f>
        <v>8.6412960900385976</v>
      </c>
      <c r="K28" s="1086">
        <f t="shared" si="0"/>
        <v>3.7584392132475719E-2</v>
      </c>
      <c r="L28" s="1185">
        <f>('CBS (Total)'!L26*'Performance &amp; Economics'!$F$39)/'CBS (CoE)'!L$2/10</f>
        <v>6.0758071042128865</v>
      </c>
      <c r="M28" s="1086">
        <f t="shared" si="1"/>
        <v>6.6330623867109723E-2</v>
      </c>
      <c r="N28" s="1185">
        <f>('CBS (Total)'!N26*'Performance &amp; Economics'!$F$39)/'CBS (CoE)'!N$2/10</f>
        <v>5.3821913645442354</v>
      </c>
      <c r="O28" s="1086">
        <f t="shared" si="2"/>
        <v>8.4192287606974447E-2</v>
      </c>
      <c r="P28" s="1185">
        <f>('CBS (Total)'!P26*'Performance &amp; Economics'!$F$39)/'CBS (CoE)'!P$2/10</f>
        <v>5.2287955759636686</v>
      </c>
      <c r="Q28" s="1087">
        <f t="shared" si="3"/>
        <v>8.5790997029310367E-2</v>
      </c>
    </row>
    <row r="29" spans="1:27" s="57" customFormat="1" x14ac:dyDescent="0.25">
      <c r="A29" s="1134" t="str">
        <f>'CBS (Total)'!A27</f>
        <v>1.4.2.2</v>
      </c>
      <c r="B29" s="482"/>
      <c r="C29" s="482"/>
      <c r="D29" s="482" t="str">
        <f>'CBS (Total)'!D27</f>
        <v>Upright Support Structures - Side (2)</v>
      </c>
      <c r="E29" s="482"/>
      <c r="F29" s="482"/>
      <c r="G29" s="482"/>
      <c r="H29" s="482"/>
      <c r="I29" s="1094">
        <f>'CBS (Total)'!I27</f>
        <v>150.26599999999999</v>
      </c>
      <c r="J29" s="1185">
        <f>('CBS (Total)'!J27*'Performance &amp; Economics'!$F$39)/'CBS (CoE)'!J$2/10</f>
        <v>7.8761463889371823</v>
      </c>
      <c r="K29" s="1086">
        <f t="shared" si="0"/>
        <v>3.4256455431013411E-2</v>
      </c>
      <c r="L29" s="1185">
        <f>('CBS (Total)'!L27*'Performance &amp; Economics'!$F$39)/'CBS (CoE)'!L$2/10</f>
        <v>5.5378204478943456</v>
      </c>
      <c r="M29" s="1086">
        <f t="shared" si="1"/>
        <v>6.0457331655274088E-2</v>
      </c>
      <c r="N29" s="1185">
        <f>('CBS (Total)'!N27*'Performance &amp; Economics'!$F$39)/'CBS (CoE)'!N$2/10</f>
        <v>4.9056214066418624</v>
      </c>
      <c r="O29" s="1086">
        <f t="shared" si="2"/>
        <v>7.6737421690300012E-2</v>
      </c>
      <c r="P29" s="1185">
        <f>('CBS (Total)'!P27*'Performance &amp; Economics'!$F$39)/'CBS (CoE)'!P$2/10</f>
        <v>4.7658081571341029</v>
      </c>
      <c r="Q29" s="1087">
        <f t="shared" si="3"/>
        <v>7.8194572251106084E-2</v>
      </c>
    </row>
    <row r="30" spans="1:27" s="58" customFormat="1" outlineLevel="1" x14ac:dyDescent="0.25">
      <c r="A30" s="1134" t="str">
        <f>'CBS (Total)'!A28</f>
        <v>1.4.2.3</v>
      </c>
      <c r="B30" s="482"/>
      <c r="C30" s="482"/>
      <c r="D30" s="482" t="str">
        <f>'CBS (Total)'!D28</f>
        <v>Upright Support Structures - Center</v>
      </c>
      <c r="E30" s="482"/>
      <c r="F30" s="482"/>
      <c r="G30" s="482"/>
      <c r="H30" s="482"/>
      <c r="I30" s="1094">
        <f>'CBS (Total)'!I28</f>
        <v>61.6</v>
      </c>
      <c r="J30" s="1185">
        <f>('CBS (Total)'!J28*'Performance &amp; Economics'!$F$39)/'CBS (CoE)'!J$2/10</f>
        <v>3.2287451423377918</v>
      </c>
      <c r="K30" s="1086">
        <f t="shared" si="0"/>
        <v>1.4043081299498401E-2</v>
      </c>
      <c r="L30" s="1185">
        <f>('CBS (Total)'!L28*'Performance &amp; Economics'!$F$39)/'CBS (CoE)'!L$2/10</f>
        <v>2.2701724913838914</v>
      </c>
      <c r="M30" s="1086">
        <f t="shared" si="1"/>
        <v>2.4783860819911924E-2</v>
      </c>
      <c r="N30" s="1185">
        <f>('CBS (Total)'!N28*'Performance &amp; Economics'!$F$39)/'CBS (CoE)'!N$2/10</f>
        <v>2.0110090016979143</v>
      </c>
      <c r="O30" s="1086">
        <f t="shared" si="2"/>
        <v>3.1457716157497248E-2</v>
      </c>
      <c r="P30" s="1185">
        <f>('CBS (Total)'!P28*'Performance &amp; Economics'!$F$39)/'CBS (CoE)'!P$2/10</f>
        <v>1.9536939991712081</v>
      </c>
      <c r="Q30" s="1087">
        <f t="shared" si="3"/>
        <v>3.2055060031332003E-2</v>
      </c>
    </row>
    <row r="31" spans="1:27" s="427" customFormat="1" outlineLevel="1" x14ac:dyDescent="0.25">
      <c r="A31" s="1136" t="str">
        <f>'CBS (Total)'!A29</f>
        <v>1.4.2.4</v>
      </c>
      <c r="B31" s="183"/>
      <c r="C31" s="183"/>
      <c r="D31" s="183" t="str">
        <f>'CBS (Total)'!D29</f>
        <v>Torque Tube</v>
      </c>
      <c r="E31" s="183"/>
      <c r="F31" s="183"/>
      <c r="G31" s="183"/>
      <c r="H31" s="183"/>
      <c r="I31" s="1137">
        <f>'CBS (Total)'!I29</f>
        <v>215</v>
      </c>
      <c r="J31" s="1177">
        <f>('CBS (Total)'!J29*'Performance &amp; Economics'!$F$39)/'CBS (CoE)'!J$2/10</f>
        <v>11.269159181860799</v>
      </c>
      <c r="K31" s="1090">
        <f t="shared" si="0"/>
        <v>4.9014001288833701E-2</v>
      </c>
      <c r="L31" s="1177">
        <f>('CBS (Total)'!L29*'Performance &amp; Economics'!$F$39)/'CBS (CoE)'!L$2/10</f>
        <v>7.9234916501223465</v>
      </c>
      <c r="M31" s="1090">
        <f t="shared" si="1"/>
        <v>8.6502111627939332E-2</v>
      </c>
      <c r="N31" s="1177">
        <f>('CBS (Total)'!N29*'Performance &amp; Economics'!$F$39)/'CBS (CoE)'!N$2/10</f>
        <v>7.0189437559261636</v>
      </c>
      <c r="O31" s="1090">
        <f t="shared" si="2"/>
        <v>0.10979560022503101</v>
      </c>
      <c r="P31" s="1177">
        <f>('CBS (Total)'!P29*'Performance &amp; Economics'!$F$39)/'CBS (CoE)'!P$2/10</f>
        <v>6.8188995100943144</v>
      </c>
      <c r="Q31" s="1139">
        <f t="shared" si="3"/>
        <v>0.11188048549896723</v>
      </c>
    </row>
    <row r="32" spans="1:27" s="58" customFormat="1" outlineLevel="1" x14ac:dyDescent="0.25">
      <c r="A32" s="1178">
        <f>'CBS (Total)'!A30</f>
        <v>1.5</v>
      </c>
      <c r="B32" s="1179"/>
      <c r="C32" s="1179" t="str">
        <f>'CBS (Total)'!C30</f>
        <v>Power Take Off</v>
      </c>
      <c r="D32" s="1179"/>
      <c r="E32" s="1179"/>
      <c r="F32" s="1179"/>
      <c r="G32" s="1179"/>
      <c r="H32" s="1179"/>
      <c r="I32" s="1186">
        <f>'CBS (Total)'!I30</f>
        <v>36.618865698729586</v>
      </c>
      <c r="J32" s="1180">
        <f>('CBS (Total)'!J30*'Performance &amp; Economics'!$F$39)/'CBS (CoE)'!J$2/10</f>
        <v>7.2099013193420989</v>
      </c>
      <c r="K32" s="1181">
        <f t="shared" si="0"/>
        <v>3.135869383471121E-2</v>
      </c>
      <c r="L32" s="1180">
        <f>('CBS (Total)'!L30*'Performance &amp; Economics'!$F$39)/'CBS (CoE)'!L$2/10</f>
        <v>5.7902528396430935</v>
      </c>
      <c r="M32" s="1181">
        <f t="shared" si="1"/>
        <v>6.3213179189892332E-2</v>
      </c>
      <c r="N32" s="1180">
        <f>('CBS (Total)'!N30*'Performance &amp; Economics'!$F$39)/'CBS (CoE)'!N$2/10</f>
        <v>5.0834164607721366</v>
      </c>
      <c r="O32" s="1181">
        <f t="shared" si="2"/>
        <v>7.9518625723854694E-2</v>
      </c>
      <c r="P32" s="1180">
        <f>('CBS (Total)'!P30*'Performance &amp; Economics'!$F$39)/'CBS (CoE)'!P$2/10</f>
        <v>4.8277747760683987</v>
      </c>
      <c r="Q32" s="1182">
        <f t="shared" si="3"/>
        <v>7.9211284024147399E-2</v>
      </c>
    </row>
    <row r="33" spans="1:18" s="58" customFormat="1" outlineLevel="1" x14ac:dyDescent="0.25">
      <c r="A33" s="1128" t="str">
        <f>'CBS (Total)'!A31</f>
        <v>1.5.1</v>
      </c>
      <c r="B33" s="1129"/>
      <c r="C33" s="1129"/>
      <c r="D33" s="1129" t="str">
        <f>'CBS (Total)'!D31</f>
        <v>Generator</v>
      </c>
      <c r="E33" s="1129"/>
      <c r="F33" s="1129"/>
      <c r="G33" s="1129"/>
      <c r="H33" s="1129"/>
      <c r="I33" s="1130">
        <f>'CBS (Total)'!I31</f>
        <v>0.90800000000000003</v>
      </c>
      <c r="J33" s="1184">
        <f>('CBS (Total)'!J31*'Performance &amp; Economics'!$F$39)/'CBS (CoE)'!J$2/10</f>
        <v>0.40453841422011827</v>
      </c>
      <c r="K33" s="1132">
        <f t="shared" si="0"/>
        <v>1.7594965193040739E-3</v>
      </c>
      <c r="L33" s="1184">
        <f>('CBS (Total)'!L31*'Performance &amp; Economics'!$F$39)/'CBS (CoE)'!L$2/10</f>
        <v>0.35691719472649236</v>
      </c>
      <c r="M33" s="1132">
        <f t="shared" si="1"/>
        <v>3.8965259740868503E-3</v>
      </c>
      <c r="N33" s="1184">
        <f>('CBS (Total)'!N31*'Performance &amp; Economics'!$F$39)/'CBS (CoE)'!N$2/10</f>
        <v>0.32700085405621193</v>
      </c>
      <c r="O33" s="1132">
        <f t="shared" si="2"/>
        <v>5.1151934384551928E-3</v>
      </c>
      <c r="P33" s="1184">
        <f>('CBS (Total)'!P31*'Performance &amp; Economics'!$F$39)/'CBS (CoE)'!P$2/10</f>
        <v>0.31490182245613191</v>
      </c>
      <c r="Q33" s="1133">
        <f t="shared" si="3"/>
        <v>5.1667235642272021E-3</v>
      </c>
    </row>
    <row r="34" spans="1:18" s="58" customFormat="1" outlineLevel="1" x14ac:dyDescent="0.25">
      <c r="A34" s="1134" t="str">
        <f>'CBS (Total)'!A32</f>
        <v>1.5.2</v>
      </c>
      <c r="B34" s="482"/>
      <c r="C34" s="482"/>
      <c r="D34" s="482" t="str">
        <f>'CBS (Total)'!D32</f>
        <v>Hydraulic Components</v>
      </c>
      <c r="E34" s="482"/>
      <c r="F34" s="482"/>
      <c r="G34" s="482"/>
      <c r="H34" s="482"/>
      <c r="I34" s="1094">
        <f>'CBS (Total)'!I32</f>
        <v>18.110321234119784</v>
      </c>
      <c r="J34" s="1185">
        <f>('CBS (Total)'!J32*'Performance &amp; Economics'!$F$39)/'CBS (CoE)'!J$2/10</f>
        <v>3.2063682577266013</v>
      </c>
      <c r="K34" s="1086">
        <f t="shared" si="0"/>
        <v>1.3945755435742889E-2</v>
      </c>
      <c r="L34" s="1185">
        <f>('CBS (Total)'!L32*'Performance &amp; Economics'!$F$39)/'CBS (CoE)'!L$2/10</f>
        <v>2.923693869842066</v>
      </c>
      <c r="M34" s="1086">
        <f t="shared" si="1"/>
        <v>3.1918465325964623E-2</v>
      </c>
      <c r="N34" s="1185">
        <f>('CBS (Total)'!N32*'Performance &amp; Economics'!$F$39)/'CBS (CoE)'!N$2/10</f>
        <v>2.7410447674569403</v>
      </c>
      <c r="O34" s="1086">
        <f t="shared" si="2"/>
        <v>4.28774849823403E-2</v>
      </c>
      <c r="P34" s="1185">
        <f>('CBS (Total)'!P32*'Performance &amp; Economics'!$F$39)/'CBS (CoE)'!P$2/10</f>
        <v>2.6659401408286199</v>
      </c>
      <c r="Q34" s="1087">
        <f t="shared" si="3"/>
        <v>4.3741175071659859E-2</v>
      </c>
    </row>
    <row r="35" spans="1:18" s="58" customFormat="1" outlineLevel="1" x14ac:dyDescent="0.25">
      <c r="A35" s="1134" t="str">
        <f>'CBS (Total)'!A33</f>
        <v>1.5.3</v>
      </c>
      <c r="B35" s="482"/>
      <c r="C35" s="482"/>
      <c r="D35" s="482" t="str">
        <f>'CBS (Total)'!D33</f>
        <v>Couplings</v>
      </c>
      <c r="E35" s="482"/>
      <c r="F35" s="482"/>
      <c r="G35" s="482"/>
      <c r="H35" s="482"/>
      <c r="I35" s="1094">
        <f>'CBS (Total)'!I33</f>
        <v>0.01</v>
      </c>
      <c r="J35" s="1185">
        <f>('CBS (Total)'!J33*'Performance &amp; Economics'!$F$39)/'CBS (CoE)'!J$2/10</f>
        <v>4.0453841422011822E-3</v>
      </c>
      <c r="K35" s="1086">
        <f t="shared" si="0"/>
        <v>1.7594965193040738E-5</v>
      </c>
      <c r="L35" s="1185">
        <f>('CBS (Total)'!L33*'Performance &amp; Economics'!$F$39)/'CBS (CoE)'!L$2/10</f>
        <v>3.4116084880810695E-3</v>
      </c>
      <c r="M35" s="1086">
        <f t="shared" si="1"/>
        <v>3.724511254609036E-5</v>
      </c>
      <c r="N35" s="1185">
        <f>('CBS (Total)'!N33*'Performance &amp; Economics'!$F$39)/'CBS (CoE)'!N$2/10</f>
        <v>3.028551753597457E-3</v>
      </c>
      <c r="O35" s="1086">
        <f t="shared" si="2"/>
        <v>4.7374885618374091E-5</v>
      </c>
      <c r="P35" s="1185">
        <f>('CBS (Total)'!P33*'Performance &amp; Economics'!$F$39)/'CBS (CoE)'!P$2/10</f>
        <v>2.8771241659175844E-3</v>
      </c>
      <c r="Q35" s="1087">
        <f t="shared" si="3"/>
        <v>4.7206158126711894E-5</v>
      </c>
    </row>
    <row r="36" spans="1:18" s="58" customFormat="1" outlineLevel="1" x14ac:dyDescent="0.25">
      <c r="A36" s="1134" t="str">
        <f>'CBS (Total)'!A34</f>
        <v>1.5.4</v>
      </c>
      <c r="B36" s="482"/>
      <c r="C36" s="482"/>
      <c r="D36" s="482" t="str">
        <f>'CBS (Total)'!D34</f>
        <v>Frequency Converter</v>
      </c>
      <c r="E36" s="482"/>
      <c r="F36" s="482"/>
      <c r="G36" s="482"/>
      <c r="H36" s="482"/>
      <c r="I36" s="1094">
        <f>'CBS (Total)'!I34</f>
        <v>1.2005444646098002</v>
      </c>
      <c r="J36" s="1185">
        <f>('CBS (Total)'!J34*'Performance &amp; Economics'!$F$39)/'CBS (CoE)'!J$2/10</f>
        <v>0.89828367814568499</v>
      </c>
      <c r="K36" s="1086">
        <f t="shared" si="0"/>
        <v>3.9069886801528673E-3</v>
      </c>
      <c r="L36" s="1185">
        <f>('CBS (Total)'!L34*'Performance &amp; Economics'!$F$39)/'CBS (CoE)'!L$2/10</f>
        <v>0.42804104308913099</v>
      </c>
      <c r="M36" s="1086">
        <f t="shared" si="1"/>
        <v>4.6729971741768508E-3</v>
      </c>
      <c r="N36" s="1185">
        <f>('CBS (Total)'!N34*'Performance &amp; Economics'!$F$39)/'CBS (CoE)'!N$2/10</f>
        <v>0.25495722986285385</v>
      </c>
      <c r="O36" s="1086">
        <f t="shared" si="2"/>
        <v>3.9882328535355933E-3</v>
      </c>
      <c r="P36" s="1185">
        <f>('CBS (Total)'!P34*'Performance &amp; Economics'!$F$39)/'CBS (CoE)'!P$2/10</f>
        <v>0.20396578389028303</v>
      </c>
      <c r="Q36" s="1087">
        <f t="shared" si="3"/>
        <v>3.3465504064169242E-3</v>
      </c>
    </row>
    <row r="37" spans="1:18" s="58" customFormat="1" outlineLevel="1" x14ac:dyDescent="0.25">
      <c r="A37" s="1134" t="str">
        <f>'CBS (Total)'!A35</f>
        <v>1.5.5</v>
      </c>
      <c r="B37" s="482"/>
      <c r="C37" s="482"/>
      <c r="D37" s="482" t="str">
        <f>'CBS (Total)'!D35</f>
        <v>Step up Transformer</v>
      </c>
      <c r="E37" s="482"/>
      <c r="F37" s="482"/>
      <c r="G37" s="482"/>
      <c r="H37" s="482"/>
      <c r="I37" s="1094">
        <f>'CBS (Total)'!I35</f>
        <v>1.59</v>
      </c>
      <c r="J37" s="1185">
        <f>('CBS (Total)'!J35*'Performance &amp; Economics'!$F$39)/'CBS (CoE)'!J$2/10</f>
        <v>0.20839857702248515</v>
      </c>
      <c r="K37" s="1086">
        <f t="shared" si="0"/>
        <v>9.0640729782331074E-4</v>
      </c>
      <c r="L37" s="1185">
        <f>('CBS (Total)'!L35*'Performance &amp; Economics'!$F$39)/'CBS (CoE)'!L$2/10</f>
        <v>0.18197053006800859</v>
      </c>
      <c r="M37" s="1086">
        <f t="shared" si="1"/>
        <v>1.9866033561977839E-3</v>
      </c>
      <c r="N37" s="1185">
        <f>('CBS (Total)'!N35*'Performance &amp; Economics'!$F$39)/'CBS (CoE)'!N$2/10</f>
        <v>0.16551453492759893</v>
      </c>
      <c r="O37" s="1086">
        <f t="shared" si="2"/>
        <v>2.5891029106764299E-3</v>
      </c>
      <c r="P37" s="1185">
        <f>('CBS (Total)'!P35*'Performance &amp; Economics'!$F$39)/'CBS (CoE)'!P$2/10</f>
        <v>0.1588939535304949</v>
      </c>
      <c r="Q37" s="1087">
        <f t="shared" si="3"/>
        <v>2.6070383699782996E-3</v>
      </c>
    </row>
    <row r="38" spans="1:18" s="58" customFormat="1" outlineLevel="1" x14ac:dyDescent="0.25">
      <c r="A38" s="1134" t="str">
        <f>'CBS (Total)'!A36</f>
        <v>1.5.6</v>
      </c>
      <c r="B38" s="482"/>
      <c r="C38" s="482"/>
      <c r="D38" s="482" t="str">
        <f>'CBS (Total)'!D36</f>
        <v>Control System</v>
      </c>
      <c r="E38" s="482"/>
      <c r="F38" s="482"/>
      <c r="G38" s="482"/>
      <c r="H38" s="482"/>
      <c r="I38" s="1094">
        <f>'CBS (Total)'!I36</f>
        <v>0</v>
      </c>
      <c r="J38" s="1185">
        <f>('CBS (Total)'!J36*'Performance &amp; Economics'!$F$39)/'CBS (CoE)'!J$2/10</f>
        <v>6.1293699124260338E-2</v>
      </c>
      <c r="K38" s="1086">
        <f t="shared" si="0"/>
        <v>2.6659038171273844E-4</v>
      </c>
      <c r="L38" s="1185">
        <f>('CBS (Total)'!L36*'Performance &amp; Economics'!$F$39)/'CBS (CoE)'!L$2/10</f>
        <v>5.7315157016312845E-2</v>
      </c>
      <c r="M38" s="1086">
        <f t="shared" si="1"/>
        <v>6.2571935822276152E-4</v>
      </c>
      <c r="N38" s="1185">
        <f>('CBS (Total)'!N36*'Performance &amp; Economics'!$F$39)/'CBS (CoE)'!N$2/10</f>
        <v>5.4688632659016835E-2</v>
      </c>
      <c r="O38" s="1086">
        <f t="shared" si="2"/>
        <v>8.5548074711572783E-4</v>
      </c>
      <c r="P38" s="1185">
        <f>('CBS (Total)'!P36*'Performance &amp; Economics'!$F$39)/'CBS (CoE)'!P$2/10</f>
        <v>5.3594860005836485E-2</v>
      </c>
      <c r="Q38" s="1087">
        <f t="shared" si="3"/>
        <v>8.7935288514307962E-4</v>
      </c>
      <c r="R38" s="132"/>
    </row>
    <row r="39" spans="1:18" s="58" customFormat="1" outlineLevel="1" x14ac:dyDescent="0.25">
      <c r="A39" s="1134" t="str">
        <f>'CBS (Total)'!A37</f>
        <v>1.5.7</v>
      </c>
      <c r="B39" s="482"/>
      <c r="C39" s="482"/>
      <c r="D39" s="482" t="str">
        <f>'CBS (Total)'!D37</f>
        <v>Bearings</v>
      </c>
      <c r="E39" s="482"/>
      <c r="F39" s="482"/>
      <c r="G39" s="482"/>
      <c r="H39" s="482"/>
      <c r="I39" s="1094">
        <f>'CBS (Total)'!I37</f>
        <v>4.3</v>
      </c>
      <c r="J39" s="1185">
        <f>('CBS (Total)'!J37*'Performance &amp; Economics'!$F$39)/'CBS (CoE)'!J$2/10</f>
        <v>0.18388109737278102</v>
      </c>
      <c r="K39" s="1086">
        <f t="shared" si="0"/>
        <v>7.9977114513821537E-4</v>
      </c>
      <c r="L39" s="1185">
        <f>('CBS (Total)'!L37*'Performance &amp; Economics'!$F$39)/'CBS (CoE)'!L$2/10</f>
        <v>0.16056223241294879</v>
      </c>
      <c r="M39" s="1086">
        <f t="shared" si="1"/>
        <v>1.7528853142921624E-3</v>
      </c>
      <c r="N39" s="1185">
        <f>('CBS (Total)'!N37*'Performance &amp; Economics'!$F$39)/'CBS (CoE)'!N$2/10</f>
        <v>0.14604223670082256</v>
      </c>
      <c r="O39" s="1086">
        <f t="shared" si="2"/>
        <v>2.2845025682439084E-3</v>
      </c>
      <c r="P39" s="1185">
        <f>('CBS (Total)'!P37*'Performance &amp; Economics'!$F$39)/'CBS (CoE)'!P$2/10</f>
        <v>0.14020054723278963</v>
      </c>
      <c r="Q39" s="1087">
        <f t="shared" si="3"/>
        <v>2.3003279735102646E-3</v>
      </c>
    </row>
    <row r="40" spans="1:18" s="58" customFormat="1" outlineLevel="1" x14ac:dyDescent="0.25">
      <c r="A40" s="1134" t="str">
        <f>'CBS (Total)'!A38</f>
        <v>1.5.8</v>
      </c>
      <c r="B40" s="482"/>
      <c r="C40" s="482"/>
      <c r="D40" s="482" t="str">
        <f>'CBS (Total)'!D38</f>
        <v>Assembly, Testing, &amp; QA</v>
      </c>
      <c r="E40" s="482"/>
      <c r="F40" s="482"/>
      <c r="G40" s="482"/>
      <c r="H40" s="482"/>
      <c r="I40" s="1094">
        <f>'CBS (Total)'!I38</f>
        <v>0</v>
      </c>
      <c r="J40" s="1185">
        <f>('CBS (Total)'!J38*'Performance &amp; Economics'!$F$39)/'CBS (CoE)'!J$2/10</f>
        <v>0.87011335120453492</v>
      </c>
      <c r="K40" s="1086">
        <f t="shared" si="0"/>
        <v>3.7844648592787345E-3</v>
      </c>
      <c r="L40" s="1185">
        <f>('CBS (Total)'!L38*'Performance &amp; Economics'!$F$39)/'CBS (CoE)'!L$2/10</f>
        <v>0.75977000419180896</v>
      </c>
      <c r="M40" s="1086">
        <f t="shared" si="1"/>
        <v>8.2945388997974125E-3</v>
      </c>
      <c r="N40" s="1185">
        <f>('CBS (Total)'!N38*'Performance &amp; Economics'!$F$39)/'CBS (CoE)'!N$2/10</f>
        <v>0.69106233217405555</v>
      </c>
      <c r="O40" s="1086">
        <f t="shared" si="2"/>
        <v>1.0810117047867447E-2</v>
      </c>
      <c r="P40" s="1185">
        <f>('CBS (Total)'!P38*'Performance &amp; Economics'!$F$39)/'CBS (CoE)'!P$2/10</f>
        <v>0.66341983888709311</v>
      </c>
      <c r="Q40" s="1087">
        <f t="shared" si="3"/>
        <v>1.0885001832694259E-2</v>
      </c>
    </row>
    <row r="41" spans="1:18" s="427" customFormat="1" x14ac:dyDescent="0.25">
      <c r="A41" s="1134" t="str">
        <f>'CBS (Total)'!A39</f>
        <v>1.5.9</v>
      </c>
      <c r="B41" s="482"/>
      <c r="C41" s="482"/>
      <c r="D41" s="482" t="str">
        <f>'CBS (Total)'!D39</f>
        <v>PTO Mount</v>
      </c>
      <c r="E41" s="482"/>
      <c r="F41" s="482"/>
      <c r="G41" s="482"/>
      <c r="H41" s="482"/>
      <c r="I41" s="1094">
        <f>'CBS (Total)'!I39</f>
        <v>10.5</v>
      </c>
      <c r="J41" s="1185">
        <f>('CBS (Total)'!J39*'Performance &amp; Economics'!$F$39)/'CBS (CoE)'!J$2/10</f>
        <v>1.1584509134485206</v>
      </c>
      <c r="K41" s="1086">
        <f t="shared" si="0"/>
        <v>5.0385582143707575E-3</v>
      </c>
      <c r="L41" s="1185">
        <f>('CBS (Total)'!L39*'Performance &amp; Economics'!$F$39)/'CBS (CoE)'!L$2/10</f>
        <v>0.81634651465383357</v>
      </c>
      <c r="M41" s="1086">
        <f t="shared" si="1"/>
        <v>8.9121943274307284E-3</v>
      </c>
      <c r="N41" s="1185">
        <f>('CBS (Total)'!N39*'Performance &amp; Economics'!$F$39)/'CBS (CoE)'!N$2/10</f>
        <v>0.63918848126401306</v>
      </c>
      <c r="O41" s="1086">
        <f t="shared" si="2"/>
        <v>9.9986672350885503E-3</v>
      </c>
      <c r="P41" s="1185">
        <f>('CBS (Total)'!P39*'Performance &amp; Economics'!$F$39)/'CBS (CoE)'!P$2/10</f>
        <v>0.57526963313761148</v>
      </c>
      <c r="Q41" s="1087">
        <f t="shared" si="3"/>
        <v>9.4386851944322815E-3</v>
      </c>
    </row>
    <row r="42" spans="1:18" s="427" customFormat="1" outlineLevel="1" x14ac:dyDescent="0.25">
      <c r="A42" s="1136" t="str">
        <f>'CBS (Total)'!A40</f>
        <v>1.5.10</v>
      </c>
      <c r="B42" s="183"/>
      <c r="C42" s="183"/>
      <c r="D42" s="183" t="str">
        <f>'CBS (Total)'!D40</f>
        <v>Other</v>
      </c>
      <c r="E42" s="183"/>
      <c r="F42" s="183"/>
      <c r="G42" s="183"/>
      <c r="H42" s="183"/>
      <c r="I42" s="1137"/>
      <c r="J42" s="1177">
        <f>('CBS (Total)'!J40*'Performance &amp; Economics'!$F$39)/'CBS (CoE)'!J$2/10</f>
        <v>0.2145279469349112</v>
      </c>
      <c r="K42" s="1090">
        <f t="shared" si="0"/>
        <v>9.3306633599458467E-4</v>
      </c>
      <c r="L42" s="1177">
        <f>('CBS (Total)'!L40*'Performance &amp; Economics'!$F$39)/'CBS (CoE)'!L$2/10</f>
        <v>0.10222468515441127</v>
      </c>
      <c r="M42" s="1090">
        <f t="shared" si="1"/>
        <v>1.1160043471770804E-3</v>
      </c>
      <c r="N42" s="1177">
        <f>('CBS (Total)'!N40*'Performance &amp; Economics'!$F$39)/'CBS (CoE)'!N$2/10</f>
        <v>6.0888839917026386E-2</v>
      </c>
      <c r="O42" s="1090">
        <f t="shared" si="2"/>
        <v>9.5246905491317725E-4</v>
      </c>
      <c r="P42" s="1177">
        <f>('CBS (Total)'!P40*'Performance &amp; Economics'!$F$39)/'CBS (CoE)'!P$2/10</f>
        <v>4.8711071933621099E-2</v>
      </c>
      <c r="Q42" s="1139">
        <f t="shared" si="3"/>
        <v>7.9922256795851609E-4</v>
      </c>
    </row>
    <row r="43" spans="1:18" s="58" customFormat="1" ht="14.45" outlineLevel="1" x14ac:dyDescent="0.3">
      <c r="A43" s="1178">
        <f>'CBS (Total)'!A41</f>
        <v>1.6</v>
      </c>
      <c r="B43" s="1179"/>
      <c r="C43" s="1179" t="str">
        <f>'CBS (Total)'!C41</f>
        <v>Subsystem Integration &amp; Profit Margin</v>
      </c>
      <c r="D43" s="1179"/>
      <c r="E43" s="1179"/>
      <c r="F43" s="1179"/>
      <c r="G43" s="1179"/>
      <c r="H43" s="1179"/>
      <c r="I43" s="1186"/>
      <c r="J43" s="1180">
        <f>('CBS (Total)'!J41*'Performance &amp; Economics'!$F$39)/'CBS (CoE)'!J$2/10</f>
        <v>5.4002070977121601</v>
      </c>
      <c r="K43" s="1181">
        <f t="shared" si="0"/>
        <v>2.348762257908997E-2</v>
      </c>
      <c r="L43" s="1180">
        <f>('CBS (Total)'!L41*'Performance &amp; Economics'!$F$39)/'CBS (CoE)'!L$2/10</f>
        <v>3.8690432843427858</v>
      </c>
      <c r="M43" s="1181">
        <f t="shared" si="1"/>
        <v>4.223900634392426E-2</v>
      </c>
      <c r="N43" s="1180">
        <f>('CBS (Total)'!N41*'Performance &amp; Economics'!$F$39)/'CBS (CoE)'!N$2/10</f>
        <v>3.4227703247878942</v>
      </c>
      <c r="O43" s="1181">
        <f t="shared" si="2"/>
        <v>5.3541549171870088E-2</v>
      </c>
      <c r="P43" s="1180">
        <f>('CBS (Total)'!P41*'Performance &amp; Economics'!$F$39)/'CBS (CoE)'!P$2/10</f>
        <v>3.3141431332563736</v>
      </c>
      <c r="Q43" s="1182">
        <f t="shared" si="3"/>
        <v>5.4376507853341728E-2</v>
      </c>
    </row>
    <row r="44" spans="1:18" s="58" customFormat="1" ht="14.45" outlineLevel="1" x14ac:dyDescent="0.3">
      <c r="A44" s="1178">
        <f>'CBS (Total)'!A42</f>
        <v>1.7</v>
      </c>
      <c r="B44" s="1179"/>
      <c r="C44" s="1179" t="str">
        <f>'CBS (Total)'!C42</f>
        <v>Installation</v>
      </c>
      <c r="D44" s="1179"/>
      <c r="E44" s="1179"/>
      <c r="F44" s="1179"/>
      <c r="G44" s="1179"/>
      <c r="H44" s="1179"/>
      <c r="I44" s="1186"/>
      <c r="J44" s="1180">
        <f>('CBS (Total)'!J42*'Performance &amp; Economics'!$F$39)/'CBS (CoE)'!J$2/10</f>
        <v>72.43103799279875</v>
      </c>
      <c r="K44" s="1181">
        <f t="shared" si="0"/>
        <v>0.3150310446625878</v>
      </c>
      <c r="L44" s="1180">
        <f>('CBS (Total)'!L42*'Performance &amp; Economics'!$F$39)/'CBS (CoE)'!L$2/10</f>
        <v>11.133354601024632</v>
      </c>
      <c r="M44" s="1181">
        <f t="shared" si="1"/>
        <v>0.12154473368775419</v>
      </c>
      <c r="N44" s="1180">
        <f>('CBS (Total)'!N42*'Performance &amp; Economics'!$F$39)/'CBS (CoE)'!N$2/10</f>
        <v>5.2789138003286</v>
      </c>
      <c r="O44" s="1181">
        <f t="shared" si="2"/>
        <v>8.2576742227620056E-2</v>
      </c>
      <c r="P44" s="1180">
        <f>('CBS (Total)'!P42*'Performance &amp; Economics'!$F$39)/'CBS (CoE)'!P$2/10</f>
        <v>4.641108717218561</v>
      </c>
      <c r="Q44" s="1182">
        <f t="shared" si="3"/>
        <v>7.6148577313279647E-2</v>
      </c>
    </row>
    <row r="45" spans="1:18" s="58" customFormat="1" ht="14.45" outlineLevel="1" x14ac:dyDescent="0.3">
      <c r="A45" s="1128" t="str">
        <f>'CBS (Total)'!A43</f>
        <v>1.7.1</v>
      </c>
      <c r="B45" s="1129"/>
      <c r="C45" s="1129"/>
      <c r="D45" s="1129" t="str">
        <f>'CBS (Total)'!D43</f>
        <v>Transport to Staging Site</v>
      </c>
      <c r="E45" s="1129"/>
      <c r="F45" s="1129"/>
      <c r="G45" s="1129"/>
      <c r="H45" s="1129"/>
      <c r="I45" s="1130"/>
      <c r="J45" s="1184">
        <f>('CBS (Total)'!J43*'Performance &amp; Economics'!$F$39)/'CBS (CoE)'!J$2/10</f>
        <v>0.36469750978934906</v>
      </c>
      <c r="K45" s="1132">
        <f t="shared" si="0"/>
        <v>1.586212771190794E-3</v>
      </c>
      <c r="L45" s="1184">
        <f>('CBS (Total)'!L43*'Performance &amp; Economics'!$F$39)/'CBS (CoE)'!L$2/10</f>
        <v>0.36469750978934906</v>
      </c>
      <c r="M45" s="1132">
        <f t="shared" si="1"/>
        <v>3.9814650024579314E-3</v>
      </c>
      <c r="N45" s="1184">
        <f>('CBS (Total)'!N43*'Performance &amp; Economics'!$F$39)/'CBS (CoE)'!N$2/10</f>
        <v>0.36469750978934912</v>
      </c>
      <c r="O45" s="1132">
        <f t="shared" si="2"/>
        <v>5.7048728954534932E-3</v>
      </c>
      <c r="P45" s="1184">
        <f>('CBS (Total)'!P43*'Performance &amp; Economics'!$F$39)/'CBS (CoE)'!P$2/10</f>
        <v>0.36469750978934912</v>
      </c>
      <c r="Q45" s="1133">
        <f t="shared" si="3"/>
        <v>5.9837418626121361E-3</v>
      </c>
    </row>
    <row r="46" spans="1:18" s="58" customFormat="1" ht="14.45" outlineLevel="1" x14ac:dyDescent="0.3">
      <c r="A46" s="1134" t="str">
        <f>'CBS (Total)'!A44</f>
        <v>1.7.2</v>
      </c>
      <c r="B46" s="482"/>
      <c r="C46" s="482"/>
      <c r="D46" s="482" t="str">
        <f>'CBS (Total)'!D44</f>
        <v>Cable Shore Landing</v>
      </c>
      <c r="E46" s="482"/>
      <c r="F46" s="482"/>
      <c r="G46" s="482"/>
      <c r="H46" s="482"/>
      <c r="I46" s="1094"/>
      <c r="J46" s="1185">
        <f>('CBS (Total)'!J44*'Performance &amp; Economics'!$F$39)/'CBS (CoE)'!J$2/10</f>
        <v>8.1765794631763296</v>
      </c>
      <c r="K46" s="1086">
        <f t="shared" si="0"/>
        <v>3.5563156920479309E-2</v>
      </c>
      <c r="L46" s="1185">
        <f>('CBS (Total)'!L44*'Performance &amp; Economics'!$F$39)/'CBS (CoE)'!L$2/10</f>
        <v>0.94049051936265082</v>
      </c>
      <c r="M46" s="1086">
        <f t="shared" si="1"/>
        <v>1.0267495629867984E-2</v>
      </c>
      <c r="N46" s="1185">
        <f>('CBS (Total)'!N44*'Performance &amp; Economics'!$F$39)/'CBS (CoE)'!N$2/10</f>
        <v>0.18809810387253018</v>
      </c>
      <c r="O46" s="1086">
        <f t="shared" si="2"/>
        <v>2.942372091019778E-3</v>
      </c>
      <c r="P46" s="1185">
        <f>('CBS (Total)'!P44*'Performance &amp; Economics'!$F$39)/'CBS (CoE)'!P$2/10</f>
        <v>0.18804906891323075</v>
      </c>
      <c r="Q46" s="1087">
        <f t="shared" si="3"/>
        <v>3.0853983251250472E-3</v>
      </c>
    </row>
    <row r="47" spans="1:18" s="58" customFormat="1" ht="14.45" outlineLevel="1" x14ac:dyDescent="0.3">
      <c r="A47" s="1134" t="str">
        <f>'CBS (Total)'!A45</f>
        <v>1.7.3</v>
      </c>
      <c r="B47" s="482"/>
      <c r="C47" s="482"/>
      <c r="D47" s="482" t="str">
        <f>'CBS (Total)'!D45</f>
        <v>Mooring/Foundation System</v>
      </c>
      <c r="E47" s="482"/>
      <c r="F47" s="482"/>
      <c r="G47" s="482"/>
      <c r="H47" s="482"/>
      <c r="I47" s="1094"/>
      <c r="J47" s="1185">
        <f>('CBS (Total)'!J45*'Performance &amp; Economics'!$F$39)/'CBS (CoE)'!J$2/10</f>
        <v>39.152374533333663</v>
      </c>
      <c r="K47" s="1086">
        <f t="shared" si="0"/>
        <v>0.17028906104429012</v>
      </c>
      <c r="L47" s="1185">
        <f>('CBS (Total)'!L45*'Performance &amp; Economics'!$F$39)/'CBS (CoE)'!L$2/10</f>
        <v>4.7864967463455761</v>
      </c>
      <c r="M47" s="1086">
        <f t="shared" si="1"/>
        <v>5.225500248400719E-2</v>
      </c>
      <c r="N47" s="1185">
        <f>('CBS (Total)'!N45*'Performance &amp; Economics'!$F$39)/'CBS (CoE)'!N$2/10</f>
        <v>1.7319051461547488</v>
      </c>
      <c r="O47" s="1086">
        <f t="shared" si="2"/>
        <v>2.7091763613909924E-2</v>
      </c>
      <c r="P47" s="1185">
        <f>('CBS (Total)'!P45*'Performance &amp; Economics'!$F$39)/'CBS (CoE)'!P$2/10</f>
        <v>1.3500811961308956</v>
      </c>
      <c r="Q47" s="1087">
        <f t="shared" si="3"/>
        <v>2.2151336804795033E-2</v>
      </c>
    </row>
    <row r="48" spans="1:18" s="78" customFormat="1" ht="14.45" x14ac:dyDescent="0.3">
      <c r="A48" s="1134" t="str">
        <f>'CBS (Total)'!A46</f>
        <v>1.7.4</v>
      </c>
      <c r="B48" s="482"/>
      <c r="C48" s="482"/>
      <c r="D48" s="482" t="str">
        <f>'CBS (Total)'!D46</f>
        <v>Cable Installation</v>
      </c>
      <c r="E48" s="482"/>
      <c r="F48" s="482"/>
      <c r="G48" s="482"/>
      <c r="H48" s="482"/>
      <c r="I48" s="1094"/>
      <c r="J48" s="1185">
        <f>('CBS (Total)'!J46*'Performance &amp; Economics'!$F$39)/'CBS (CoE)'!J$2/10</f>
        <v>18.480464386195781</v>
      </c>
      <c r="K48" s="1086">
        <f t="shared" si="0"/>
        <v>8.0378801171009512E-2</v>
      </c>
      <c r="L48" s="1185">
        <f>('CBS (Total)'!L46*'Performance &amp; Economics'!$F$39)/'CBS (CoE)'!L$2/10</f>
        <v>2.7951944589237891</v>
      </c>
      <c r="M48" s="1086">
        <f t="shared" si="1"/>
        <v>3.0515615310062149E-2</v>
      </c>
      <c r="N48" s="1185">
        <f>('CBS (Total)'!N46*'Performance &amp; Economics'!$F$39)/'CBS (CoE)'!N$2/10</f>
        <v>1.1042218280154039</v>
      </c>
      <c r="O48" s="1086">
        <f t="shared" si="2"/>
        <v>1.7273068798445521E-2</v>
      </c>
      <c r="P48" s="1185">
        <f>('CBS (Total)'!P46*'Performance &amp; Economics'!$F$39)/'CBS (CoE)'!P$2/10</f>
        <v>0.89285024915185573</v>
      </c>
      <c r="Q48" s="1087">
        <f t="shared" si="3"/>
        <v>1.4649360825028764E-2</v>
      </c>
    </row>
    <row r="49" spans="1:18" s="78" customFormat="1" ht="14.45" x14ac:dyDescent="0.3">
      <c r="A49" s="1134" t="str">
        <f>'CBS (Total)'!A47</f>
        <v>1.7.5</v>
      </c>
      <c r="B49" s="482"/>
      <c r="C49" s="482"/>
      <c r="D49" s="482" t="str">
        <f>'CBS (Total)'!D47</f>
        <v>Device Installation</v>
      </c>
      <c r="E49" s="482"/>
      <c r="F49" s="482"/>
      <c r="G49" s="482"/>
      <c r="H49" s="482"/>
      <c r="I49" s="1094"/>
      <c r="J49" s="1185">
        <f>('CBS (Total)'!J47*'Performance &amp; Economics'!$F$39)/'CBS (CoE)'!J$2/10</f>
        <v>3.1284610501518104</v>
      </c>
      <c r="K49" s="1086">
        <f t="shared" si="0"/>
        <v>1.3606906377809029E-2</v>
      </c>
      <c r="L49" s="1185">
        <f>('CBS (Total)'!L47*'Performance &amp; Economics'!$F$39)/'CBS (CoE)'!L$2/10</f>
        <v>1.1232376833016331</v>
      </c>
      <c r="M49" s="1086">
        <f t="shared" si="1"/>
        <v>1.2262577630679467E-2</v>
      </c>
      <c r="N49" s="1185">
        <f>('CBS (Total)'!N47*'Performance &amp; Economics'!$F$39)/'CBS (CoE)'!N$2/10</f>
        <v>0.94499560624828383</v>
      </c>
      <c r="O49" s="1086">
        <f t="shared" si="2"/>
        <v>1.4782332414395666E-2</v>
      </c>
      <c r="P49" s="1185">
        <f>('CBS (Total)'!P47*'Performance &amp; Economics'!$F$39)/'CBS (CoE)'!P$2/10</f>
        <v>0.92271534661661525</v>
      </c>
      <c r="Q49" s="1087">
        <f t="shared" si="3"/>
        <v>1.5139369747859342E-2</v>
      </c>
    </row>
    <row r="50" spans="1:18" s="427" customFormat="1" ht="14.45" outlineLevel="1" x14ac:dyDescent="0.3">
      <c r="A50" s="1136" t="str">
        <f>'CBS (Total)'!A48</f>
        <v>1.7.6</v>
      </c>
      <c r="B50" s="183"/>
      <c r="C50" s="183"/>
      <c r="D50" s="183" t="str">
        <f>'CBS (Total)'!D48</f>
        <v>Device Commissioning</v>
      </c>
      <c r="E50" s="899"/>
      <c r="F50" s="899"/>
      <c r="G50" s="899"/>
      <c r="H50" s="899"/>
      <c r="I50" s="1137"/>
      <c r="J50" s="1177">
        <f>('CBS (Total)'!J48*'Performance &amp; Economics'!$F$39)/'CBS (CoE)'!J$2/10</f>
        <v>3.1284610501518104</v>
      </c>
      <c r="K50" s="1090">
        <f t="shared" si="0"/>
        <v>1.3606906377809029E-2</v>
      </c>
      <c r="L50" s="1177">
        <f>('CBS (Total)'!L48*'Performance &amp; Economics'!$F$39)/'CBS (CoE)'!L$2/10</f>
        <v>1.1232376833016331</v>
      </c>
      <c r="M50" s="1090">
        <f t="shared" si="1"/>
        <v>1.2262577630679467E-2</v>
      </c>
      <c r="N50" s="1177">
        <f>('CBS (Total)'!N48*'Performance &amp; Economics'!$F$39)/'CBS (CoE)'!N$2/10</f>
        <v>0.94499560624828383</v>
      </c>
      <c r="O50" s="1090">
        <f t="shared" si="2"/>
        <v>1.4782332414395666E-2</v>
      </c>
      <c r="P50" s="1177">
        <f>('CBS (Total)'!P48*'Performance &amp; Economics'!$F$39)/'CBS (CoE)'!P$2/10</f>
        <v>0.92271534661661525</v>
      </c>
      <c r="Q50" s="1139">
        <f t="shared" si="3"/>
        <v>1.5139369747859342E-2</v>
      </c>
      <c r="R50" s="78"/>
    </row>
    <row r="51" spans="1:18" s="988" customFormat="1" ht="14.45" outlineLevel="1" x14ac:dyDescent="0.3">
      <c r="A51" s="1178">
        <f>'CBS (Total)'!A49</f>
        <v>1.8</v>
      </c>
      <c r="B51" s="1179"/>
      <c r="C51" s="1179" t="str">
        <f>'CBS (Total)'!C49</f>
        <v>Decommissioning</v>
      </c>
      <c r="D51" s="1179"/>
      <c r="E51" s="1179"/>
      <c r="F51" s="1179"/>
      <c r="G51" s="1179"/>
      <c r="H51" s="1179"/>
      <c r="I51" s="1186"/>
      <c r="J51" s="1180">
        <f>('CBS (Total)'!J49*'Performance &amp; Economics'!$F$39)/'CBS (CoE)'!J$2/10</f>
        <v>72.43103799279875</v>
      </c>
      <c r="K51" s="1181">
        <f t="shared" si="0"/>
        <v>0.3150310446625878</v>
      </c>
      <c r="L51" s="1180">
        <f>('CBS (Total)'!L49*'Performance &amp; Economics'!$F$39)/'CBS (CoE)'!L$2/10</f>
        <v>11.133354601024632</v>
      </c>
      <c r="M51" s="1181">
        <f t="shared" si="1"/>
        <v>0.12154473368775419</v>
      </c>
      <c r="N51" s="1180">
        <f>('CBS (Total)'!N49*'Performance &amp; Economics'!$F$39)/'CBS (CoE)'!N$2/10</f>
        <v>5.2789138003286</v>
      </c>
      <c r="O51" s="1181">
        <f t="shared" si="2"/>
        <v>8.2576742227620056E-2</v>
      </c>
      <c r="P51" s="1180">
        <f>('CBS (Total)'!P49*'Performance &amp; Economics'!$F$39)/'CBS (CoE)'!P$2/10</f>
        <v>4.641108717218561</v>
      </c>
      <c r="Q51" s="1182">
        <f t="shared" si="3"/>
        <v>7.6148577313279647E-2</v>
      </c>
      <c r="R51" s="78"/>
    </row>
    <row r="52" spans="1:18" s="988" customFormat="1" ht="14.45" outlineLevel="1" x14ac:dyDescent="0.3">
      <c r="A52" s="1178">
        <f>'CBS (Total)'!A50</f>
        <v>1.9</v>
      </c>
      <c r="B52" s="1179"/>
      <c r="C52" s="1179" t="str">
        <f>'CBS (Total)'!C50</f>
        <v>Contingency</v>
      </c>
      <c r="D52" s="1179"/>
      <c r="E52" s="1179"/>
      <c r="F52" s="1179"/>
      <c r="G52" s="1179"/>
      <c r="H52" s="1179"/>
      <c r="I52" s="1186"/>
      <c r="J52" s="1180">
        <f>('CBS (Total)'!J50*'Performance &amp; Economics'!$F$39)/'CBS (CoE)'!J$2/10</f>
        <v>20.90155852601638</v>
      </c>
      <c r="K52" s="1181">
        <f t="shared" si="0"/>
        <v>9.0909090909090912E-2</v>
      </c>
      <c r="L52" s="1180">
        <f>('CBS (Total)'!L50*'Performance &amp; Economics'!$F$39)/'CBS (CoE)'!L$2/10</f>
        <v>8.3271657671965968</v>
      </c>
      <c r="M52" s="1181">
        <f t="shared" si="1"/>
        <v>9.0909090909090898E-2</v>
      </c>
      <c r="N52" s="1180">
        <f>('CBS (Total)'!N50*'Performance &amp; Economics'!$F$39)/'CBS (CoE)'!N$2/10</f>
        <v>5.8115789219741236</v>
      </c>
      <c r="O52" s="1181">
        <f t="shared" si="2"/>
        <v>9.0909090909090912E-2</v>
      </c>
      <c r="P52" s="1180">
        <f>('CBS (Total)'!P50*'Performance &amp; Economics'!$F$39)/'CBS (CoE)'!P$2/10</f>
        <v>5.5407335130740192</v>
      </c>
      <c r="Q52" s="1182">
        <f t="shared" si="3"/>
        <v>9.0909090909090925E-2</v>
      </c>
      <c r="R52" s="78"/>
    </row>
    <row r="53" spans="1:18" ht="14.45" outlineLevel="1" x14ac:dyDescent="0.3">
      <c r="A53" s="1176"/>
      <c r="B53" s="896"/>
      <c r="C53" s="896"/>
      <c r="D53" s="882"/>
      <c r="E53" s="896"/>
      <c r="F53" s="896"/>
      <c r="G53" s="896"/>
      <c r="H53" s="896"/>
      <c r="I53" s="602"/>
      <c r="J53" s="134"/>
      <c r="K53" s="600"/>
      <c r="L53" s="134"/>
      <c r="M53" s="600"/>
      <c r="N53" s="134"/>
      <c r="O53" s="600"/>
      <c r="P53" s="134"/>
      <c r="Q53" s="601"/>
      <c r="R53" s="427"/>
    </row>
    <row r="54" spans="1:18" outlineLevel="1" thickBot="1" x14ac:dyDescent="0.35">
      <c r="A54" s="1187" t="s">
        <v>456</v>
      </c>
      <c r="B54" s="1188"/>
      <c r="C54" s="1188"/>
      <c r="D54" s="1188"/>
      <c r="E54" s="1188"/>
      <c r="F54" s="1188"/>
      <c r="G54" s="1188"/>
      <c r="H54" s="1188"/>
      <c r="I54" s="1189">
        <f>I32+I25</f>
        <v>836.16486569872961</v>
      </c>
      <c r="J54" s="1190">
        <f>('CBS (Total)'!J52*'Performance &amp; Economics'!$F$39)/'CBS (CoE)'!J$2/10</f>
        <v>229.91714378618016</v>
      </c>
      <c r="K54" s="1191">
        <f t="shared" ref="K54" si="4">J54/$J$54</f>
        <v>1</v>
      </c>
      <c r="L54" s="1190">
        <f>('CBS (Total)'!L52*'Performance &amp; Economics'!$F$39)/'CBS (CoE)'!L$2/10</f>
        <v>91.598823439162572</v>
      </c>
      <c r="M54" s="1191">
        <f t="shared" ref="M54" si="5">L54/$L$54</f>
        <v>1</v>
      </c>
      <c r="N54" s="1190">
        <f>('CBS (Total)'!N52*'Performance &amp; Economics'!$F$39)/'CBS (CoE)'!N$2/10</f>
        <v>63.927368141715363</v>
      </c>
      <c r="O54" s="1191">
        <f t="shared" ref="O54" si="6">N54/$N$54</f>
        <v>1</v>
      </c>
      <c r="P54" s="1190">
        <f>('CBS (Total)'!P52*'Performance &amp; Economics'!$F$39)/'CBS (CoE)'!P$2/10</f>
        <v>60.948068643814203</v>
      </c>
      <c r="Q54" s="1192">
        <f t="shared" ref="Q54" si="7">P54/$P$54</f>
        <v>1</v>
      </c>
    </row>
    <row r="55" spans="1:18" s="57" customFormat="1" thickTop="1" x14ac:dyDescent="0.3">
      <c r="A55" s="384"/>
      <c r="B55" s="745"/>
      <c r="C55" s="745"/>
      <c r="D55" s="745"/>
      <c r="E55" s="745"/>
      <c r="F55" s="745"/>
      <c r="G55" s="745"/>
      <c r="H55" s="745"/>
      <c r="I55" s="59"/>
      <c r="J55" s="133"/>
      <c r="K55" s="82"/>
      <c r="L55" s="133"/>
      <c r="M55" s="82"/>
      <c r="N55" s="133"/>
      <c r="O55" s="82"/>
      <c r="P55" s="133"/>
      <c r="Q55" s="59"/>
      <c r="R55" s="68"/>
    </row>
    <row r="56" spans="1:18" s="58" customFormat="1" ht="14.45" outlineLevel="1" x14ac:dyDescent="0.3">
      <c r="A56" s="1178">
        <f>'CBS (Total)'!A54</f>
        <v>2</v>
      </c>
      <c r="B56" s="1179" t="str">
        <f>'CBS (Total)'!B54</f>
        <v>Annualized OPEX</v>
      </c>
      <c r="C56" s="1179"/>
      <c r="D56" s="1179"/>
      <c r="E56" s="1179"/>
      <c r="F56" s="1179"/>
      <c r="G56" s="1179"/>
      <c r="H56" s="1179"/>
      <c r="I56" s="1179"/>
      <c r="J56" s="1180">
        <f>('CBS (Total)'!J54)/'CBS (CoE)'!J$2/10</f>
        <v>129.53735921069261</v>
      </c>
      <c r="K56" s="1193">
        <f>J56/$J$54</f>
        <v>0.56340887450811672</v>
      </c>
      <c r="L56" s="1180">
        <f>('CBS (Total)'!L54)/'CBS (CoE)'!L$2/10</f>
        <v>52.421857106230902</v>
      </c>
      <c r="M56" s="1193">
        <f>L56/$L$54</f>
        <v>0.57229836735892203</v>
      </c>
      <c r="N56" s="1180">
        <f>('CBS (Total)'!N54)/'CBS (CoE)'!N$2/10</f>
        <v>13.261330478384178</v>
      </c>
      <c r="O56" s="1193">
        <f>N56/$N$54</f>
        <v>0.20744371094687047</v>
      </c>
      <c r="P56" s="1180">
        <f>('CBS (Total)'!P54)/'CBS (CoE)'!P$2/10</f>
        <v>8.2736764141479799</v>
      </c>
      <c r="Q56" s="1182">
        <f>P56/$P$54</f>
        <v>0.13574960779315359</v>
      </c>
      <c r="R56" s="57"/>
    </row>
    <row r="57" spans="1:18" s="882" customFormat="1" ht="14.45" outlineLevel="1" x14ac:dyDescent="0.3">
      <c r="A57" s="1128">
        <f>'CBS (Total)'!A55</f>
        <v>2.1</v>
      </c>
      <c r="B57" s="1129"/>
      <c r="C57" s="1129" t="str">
        <f>'CBS (Total)'!C55</f>
        <v>Insurance</v>
      </c>
      <c r="D57" s="1129"/>
      <c r="E57" s="1129"/>
      <c r="F57" s="1129"/>
      <c r="G57" s="1129"/>
      <c r="H57" s="1129"/>
      <c r="I57" s="1183"/>
      <c r="J57" s="1184">
        <f>('CBS (Total)'!J55)/'CBS (CoE)'!J$2/10</f>
        <v>29.734880137866629</v>
      </c>
      <c r="K57" s="1150">
        <f t="shared" ref="K57:K62" si="8">J57/$J$54</f>
        <v>0.1293286774887899</v>
      </c>
      <c r="L57" s="1184">
        <f>('CBS (Total)'!L55)/'CBS (CoE)'!L$2/10</f>
        <v>13.554403142461073</v>
      </c>
      <c r="M57" s="1150">
        <f t="shared" ref="M57:M62" si="9">L57/$L$54</f>
        <v>0.14797573411478954</v>
      </c>
      <c r="N57" s="1184">
        <f>('CBS (Total)'!N55)/'CBS (CoE)'!N$2/10</f>
        <v>5.1478048231422067</v>
      </c>
      <c r="O57" s="1150">
        <f t="shared" ref="O57:O62" si="10">N57/$N$54</f>
        <v>8.0525836942488521E-2</v>
      </c>
      <c r="P57" s="1184">
        <f>('CBS (Total)'!P55)/'CBS (CoE)'!P$2/10</f>
        <v>2.5025924873469414</v>
      </c>
      <c r="Q57" s="1133">
        <f t="shared" ref="Q57:Q62" si="11">P57/$P$54</f>
        <v>4.1061063016981043E-2</v>
      </c>
    </row>
    <row r="58" spans="1:18" s="882" customFormat="1" ht="14.45" outlineLevel="1" x14ac:dyDescent="0.3">
      <c r="A58" s="1134">
        <f>'CBS (Total)'!A56</f>
        <v>2.2000000000000002</v>
      </c>
      <c r="B58" s="482"/>
      <c r="C58" s="482" t="str">
        <f>'CBS (Total)'!C56</f>
        <v>Environmental Monitoring and Regulatory Compliance</v>
      </c>
      <c r="D58" s="482"/>
      <c r="E58" s="482"/>
      <c r="F58" s="482"/>
      <c r="G58" s="482"/>
      <c r="H58" s="482"/>
      <c r="I58" s="402"/>
      <c r="J58" s="1185">
        <f>('CBS (Total)'!J56)/'CBS (CoE)'!J$2/10</f>
        <v>52.753809865173196</v>
      </c>
      <c r="K58" s="831">
        <f t="shared" si="8"/>
        <v>0.22944704773400251</v>
      </c>
      <c r="L58" s="1185">
        <f>('CBS (Total)'!L56)/'CBS (CoE)'!L$2/10</f>
        <v>23.654127649222822</v>
      </c>
      <c r="M58" s="831">
        <f t="shared" si="9"/>
        <v>0.25823615152582441</v>
      </c>
      <c r="N58" s="1185">
        <f>('CBS (Total)'!N56)/'CBS (CoE)'!N$2/10</f>
        <v>4.0501312090036201</v>
      </c>
      <c r="O58" s="831">
        <f t="shared" si="10"/>
        <v>6.3355200233258704E-2</v>
      </c>
      <c r="P58" s="1185">
        <f>('CBS (Total)'!P56)/'CBS (CoE)'!P$2/10</f>
        <v>2.0250656045018101</v>
      </c>
      <c r="Q58" s="1087">
        <f t="shared" si="11"/>
        <v>3.3226083279791339E-2</v>
      </c>
      <c r="R58" s="82"/>
    </row>
    <row r="59" spans="1:18" s="882" customFormat="1" ht="14.45" outlineLevel="1" x14ac:dyDescent="0.3">
      <c r="A59" s="1134">
        <f>'CBS (Total)'!A57</f>
        <v>2.2999999999999998</v>
      </c>
      <c r="B59" s="482"/>
      <c r="C59" s="482" t="str">
        <f>'CBS (Total)'!C57</f>
        <v>Marine Operations</v>
      </c>
      <c r="D59" s="482"/>
      <c r="E59" s="482"/>
      <c r="F59" s="482"/>
      <c r="G59" s="482"/>
      <c r="H59" s="482"/>
      <c r="I59" s="402"/>
      <c r="J59" s="1185">
        <f>('CBS (Total)'!J57)/'CBS (CoE)'!J$2/10</f>
        <v>8.5977365174884959</v>
      </c>
      <c r="K59" s="831">
        <f t="shared" si="8"/>
        <v>3.7394934435529846E-2</v>
      </c>
      <c r="L59" s="1185">
        <f>('CBS (Total)'!L57)/'CBS (CoE)'!L$2/10</f>
        <v>8.5977365174884977</v>
      </c>
      <c r="M59" s="831">
        <f t="shared" si="9"/>
        <v>9.3862958001844632E-2</v>
      </c>
      <c r="N59" s="1185">
        <f>('CBS (Total)'!N57)/'CBS (CoE)'!N$2/10</f>
        <v>1.4015496066115047</v>
      </c>
      <c r="O59" s="831">
        <f t="shared" si="10"/>
        <v>2.1924093660551203E-2</v>
      </c>
      <c r="P59" s="1185">
        <f>('CBS (Total)'!P57)/'CBS (CoE)'!P$2/10</f>
        <v>1.4015496066115047</v>
      </c>
      <c r="Q59" s="1087">
        <f t="shared" si="11"/>
        <v>2.2995800159021973E-2</v>
      </c>
      <c r="R59" s="132"/>
    </row>
    <row r="60" spans="1:18" s="882" customFormat="1" ht="14.45" outlineLevel="1" x14ac:dyDescent="0.3">
      <c r="A60" s="1134">
        <f>'CBS (Total)'!A58</f>
        <v>2.4</v>
      </c>
      <c r="B60" s="482"/>
      <c r="C60" s="482" t="str">
        <f>'CBS (Total)'!C58</f>
        <v>Shoreside Operations</v>
      </c>
      <c r="D60" s="482"/>
      <c r="E60" s="482"/>
      <c r="F60" s="482"/>
      <c r="G60" s="482"/>
      <c r="H60" s="482"/>
      <c r="I60" s="402"/>
      <c r="J60" s="1185">
        <f>('CBS (Total)'!J58)/'CBS (CoE)'!J$2/10</f>
        <v>29.673847875579714</v>
      </c>
      <c r="K60" s="831">
        <f t="shared" si="8"/>
        <v>0.12906322419860952</v>
      </c>
      <c r="L60" s="1185">
        <f>('CBS (Total)'!L58)/'CBS (CoE)'!L$2/10</f>
        <v>4.5372360649973995</v>
      </c>
      <c r="M60" s="831">
        <f t="shared" si="9"/>
        <v>4.9533781053540574E-2</v>
      </c>
      <c r="N60" s="1185">
        <f>('CBS (Total)'!N58)/'CBS (CoE)'!N$2/10</f>
        <v>1.0316875404393691</v>
      </c>
      <c r="O60" s="831">
        <f t="shared" si="10"/>
        <v>1.6138432887653143E-2</v>
      </c>
      <c r="P60" s="1185">
        <f>('CBS (Total)'!P58)/'CBS (CoE)'!P$2/10</f>
        <v>0.76536588741034961</v>
      </c>
      <c r="Q60" s="1087">
        <f t="shared" si="11"/>
        <v>1.2557672530744399E-2</v>
      </c>
    </row>
    <row r="61" spans="1:18" s="882" customFormat="1" ht="14.45" outlineLevel="1" x14ac:dyDescent="0.3">
      <c r="A61" s="1134">
        <f>'CBS (Total)'!A59</f>
        <v>2.5</v>
      </c>
      <c r="B61" s="482"/>
      <c r="C61" s="482" t="str">
        <f>'CBS (Total)'!C59</f>
        <v>Replacement Parts</v>
      </c>
      <c r="D61" s="482"/>
      <c r="E61" s="482"/>
      <c r="F61" s="482"/>
      <c r="G61" s="482"/>
      <c r="H61" s="482"/>
      <c r="I61" s="402"/>
      <c r="J61" s="1185">
        <f>('CBS (Total)'!J59)/'CBS (CoE)'!J$2/10</f>
        <v>7.2455225926924696</v>
      </c>
      <c r="K61" s="831">
        <f t="shared" si="8"/>
        <v>3.1513624749230133E-2</v>
      </c>
      <c r="L61" s="1185">
        <f>('CBS (Total)'!L59)/'CBS (CoE)'!L$2/10</f>
        <v>0.54679151016898386</v>
      </c>
      <c r="M61" s="831">
        <f>L61/$L$54</f>
        <v>5.9694163051357075E-3</v>
      </c>
      <c r="N61" s="1185">
        <f>('CBS (Total)'!N59)/'CBS (CoE)'!N$2/10</f>
        <v>9.8595077295352274E-2</v>
      </c>
      <c r="O61" s="831">
        <f t="shared" si="10"/>
        <v>1.5422983952160349E-3</v>
      </c>
      <c r="P61" s="1185">
        <f>('CBS (Total)'!P59)/'CBS (CoE)'!P$2/10</f>
        <v>4.7540606385249512E-2</v>
      </c>
      <c r="Q61" s="1087">
        <f t="shared" si="11"/>
        <v>7.8001825887348357E-4</v>
      </c>
    </row>
    <row r="62" spans="1:18" s="882" customFormat="1" ht="14.45" x14ac:dyDescent="0.3">
      <c r="A62" s="1136">
        <f>'CBS (Total)'!A60</f>
        <v>2.6</v>
      </c>
      <c r="B62" s="183"/>
      <c r="C62" s="183" t="str">
        <f>'CBS (Total)'!C60</f>
        <v>Consumables</v>
      </c>
      <c r="D62" s="183"/>
      <c r="E62" s="183"/>
      <c r="F62" s="183"/>
      <c r="G62" s="183"/>
      <c r="H62" s="183"/>
      <c r="I62" s="899"/>
      <c r="J62" s="1177">
        <f>('CBS (Total)'!J60)/'CBS (CoE)'!J$2/10</f>
        <v>1.5315622218921252</v>
      </c>
      <c r="K62" s="1121">
        <f t="shared" si="8"/>
        <v>6.6613659019549116E-3</v>
      </c>
      <c r="L62" s="1177">
        <f>('CBS (Total)'!L60)/'CBS (CoE)'!L$2/10</f>
        <v>1.5315622218921254</v>
      </c>
      <c r="M62" s="1121">
        <f t="shared" si="9"/>
        <v>1.6720326357787193E-2</v>
      </c>
      <c r="N62" s="1177">
        <f>('CBS (Total)'!N60)/'CBS (CoE)'!N$2/10</f>
        <v>1.5315622218921252</v>
      </c>
      <c r="O62" s="1121">
        <f t="shared" si="10"/>
        <v>2.3957848827702872E-2</v>
      </c>
      <c r="P62" s="1177">
        <f>('CBS (Total)'!P60)/'CBS (CoE)'!P$2/10</f>
        <v>1.5315622218921252</v>
      </c>
      <c r="Q62" s="1139">
        <f t="shared" si="11"/>
        <v>2.5128970547741349E-2</v>
      </c>
    </row>
    <row r="63" spans="1:18" s="57" customFormat="1" ht="14.45" x14ac:dyDescent="0.3">
      <c r="A63" s="384"/>
      <c r="B63" s="745"/>
      <c r="C63" s="745"/>
      <c r="D63" s="745"/>
      <c r="E63" s="745"/>
      <c r="F63" s="745"/>
      <c r="G63" s="745"/>
      <c r="H63" s="745"/>
      <c r="I63" s="59"/>
      <c r="J63" s="133"/>
      <c r="K63" s="75"/>
      <c r="L63" s="133"/>
      <c r="M63" s="75"/>
      <c r="N63" s="133"/>
      <c r="O63" s="75"/>
      <c r="P63" s="133"/>
      <c r="Q63" s="59"/>
      <c r="R63" s="68"/>
    </row>
    <row r="64" spans="1:18" ht="14.45" x14ac:dyDescent="0.3">
      <c r="A64" s="1178" t="s">
        <v>181</v>
      </c>
      <c r="B64" s="1179"/>
      <c r="C64" s="1179"/>
      <c r="D64" s="1179"/>
      <c r="E64" s="1179"/>
      <c r="F64" s="1179"/>
      <c r="G64" s="1179"/>
      <c r="H64" s="1179"/>
      <c r="I64" s="1179"/>
      <c r="J64" s="1180">
        <f>('CBS (Total)'!J62)/'CBS (CoE)'!J$2/10</f>
        <v>129.53735921069261</v>
      </c>
      <c r="K64" s="1193">
        <f t="shared" ref="K64:Q64" si="12">SUM(K57:K62)</f>
        <v>0.56340887450811683</v>
      </c>
      <c r="L64" s="1180">
        <f>('CBS (Total)'!L62)/'CBS (CoE)'!L$2/10</f>
        <v>52.421857106230902</v>
      </c>
      <c r="M64" s="1193">
        <f t="shared" si="12"/>
        <v>0.57229836735892203</v>
      </c>
      <c r="N64" s="1180">
        <f>('CBS (Total)'!N62)/'CBS (CoE)'!N$2/10</f>
        <v>13.261330478384178</v>
      </c>
      <c r="O64" s="1193">
        <f t="shared" si="12"/>
        <v>0.2074437109468705</v>
      </c>
      <c r="P64" s="1180">
        <f>('CBS (Total)'!P62)/'CBS (CoE)'!P$2/10</f>
        <v>8.2736764141479799</v>
      </c>
      <c r="Q64" s="1182">
        <f t="shared" si="12"/>
        <v>0.13574960779315359</v>
      </c>
      <c r="R64" s="57"/>
    </row>
    <row r="65" spans="1:17" ht="14.45" x14ac:dyDescent="0.3">
      <c r="J65" s="3"/>
      <c r="K65" s="82"/>
      <c r="L65" s="3"/>
      <c r="M65" s="82"/>
      <c r="N65" s="3"/>
      <c r="O65" s="82"/>
      <c r="P65" s="3"/>
    </row>
    <row r="66" spans="1:17" thickBot="1" x14ac:dyDescent="0.35">
      <c r="A66" s="764" t="s">
        <v>724</v>
      </c>
      <c r="B66" s="765"/>
      <c r="C66" s="765"/>
      <c r="D66" s="765"/>
      <c r="E66" s="765"/>
      <c r="F66" s="765"/>
      <c r="G66" s="765"/>
      <c r="H66" s="765"/>
      <c r="I66" s="765"/>
      <c r="J66" s="766">
        <f>(J64+J54)/100</f>
        <v>3.5945450299687276</v>
      </c>
      <c r="K66" s="766"/>
      <c r="L66" s="766">
        <f>(L64+L54)/100</f>
        <v>1.4402068054539348</v>
      </c>
      <c r="M66" s="766"/>
      <c r="N66" s="766">
        <f>(N64+N54)/100</f>
        <v>0.77188698620099538</v>
      </c>
      <c r="O66" s="766"/>
      <c r="P66" s="766">
        <f>(P64+P54)/100</f>
        <v>0.69221745057962181</v>
      </c>
      <c r="Q66" s="765"/>
    </row>
    <row r="67" spans="1:17" ht="15.75" thickTop="1" x14ac:dyDescent="0.25">
      <c r="J67" s="1175"/>
      <c r="K67" s="1175"/>
      <c r="L67" s="1175"/>
      <c r="M67" s="1175"/>
      <c r="N67" s="1175"/>
      <c r="O67" s="1175"/>
      <c r="P67" s="1175"/>
    </row>
  </sheetData>
  <mergeCells count="1">
    <mergeCell ref="J3:P3"/>
  </mergeCells>
  <pageMargins left="0.7" right="0.7" top="0.75" bottom="0.75" header="0.3" footer="0.3"/>
  <pageSetup orientation="portrait" horizontalDpi="4294967293"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zoomScale="70" zoomScaleNormal="70" zoomScalePageLayoutView="70" workbookViewId="0">
      <pane xSplit="8" ySplit="3" topLeftCell="I4" activePane="bottomRight" state="frozen"/>
      <selection activeCell="A3" sqref="A3"/>
      <selection pane="topRight" activeCell="I3" sqref="I3"/>
      <selection pane="bottomLeft" activeCell="A5" sqref="A5"/>
      <selection pane="bottomRight" activeCell="D49" sqref="D49"/>
    </sheetView>
  </sheetViews>
  <sheetFormatPr defaultColWidth="8.85546875" defaultRowHeight="15" outlineLevelRow="2" x14ac:dyDescent="0.25"/>
  <cols>
    <col min="1" max="1" width="8.42578125" style="36" customWidth="1"/>
    <col min="2" max="2" width="3.85546875" style="68" customWidth="1"/>
    <col min="3" max="4" width="4.140625" style="68" customWidth="1"/>
    <col min="5" max="7" width="8.85546875" style="68"/>
    <col min="8" max="9" width="20.28515625" style="68" customWidth="1"/>
    <col min="10" max="10" width="19.42578125" style="68" bestFit="1" customWidth="1"/>
    <col min="11" max="11" width="10.140625" style="58" customWidth="1"/>
    <col min="12" max="12" width="20.42578125" style="68" bestFit="1" customWidth="1"/>
    <col min="13" max="13" width="10.140625" style="58" customWidth="1"/>
    <col min="14" max="14" width="22.7109375" style="68" bestFit="1" customWidth="1"/>
    <col min="15" max="15" width="11.42578125" style="58" customWidth="1"/>
    <col min="16" max="16" width="20.85546875" style="68" customWidth="1"/>
    <col min="17" max="17" width="11" style="68" customWidth="1"/>
    <col min="18" max="18" width="17.140625" style="68" bestFit="1" customWidth="1"/>
    <col min="19" max="19" width="16.85546875" style="68" bestFit="1" customWidth="1"/>
    <col min="20" max="22" width="13.28515625" style="68" bestFit="1" customWidth="1"/>
    <col min="23" max="16384" width="8.85546875" style="68"/>
  </cols>
  <sheetData>
    <row r="1" spans="1:19" ht="23.25" customHeight="1" x14ac:dyDescent="0.25">
      <c r="A1" s="599" t="s">
        <v>182</v>
      </c>
      <c r="B1" s="988"/>
      <c r="C1" s="988"/>
      <c r="D1" s="988"/>
      <c r="E1" s="988"/>
      <c r="F1" s="988"/>
      <c r="G1" s="988"/>
      <c r="H1" s="988"/>
      <c r="I1" s="988"/>
      <c r="J1" s="997">
        <f>'CBS (Total)'!J2*'Performance &amp; Economics'!$E$17</f>
        <v>360.28</v>
      </c>
      <c r="K1" s="995"/>
      <c r="L1" s="995">
        <f>'CBS (Total)'!L2*'Performance &amp; Economics'!$E$17</f>
        <v>3602.7999999999997</v>
      </c>
      <c r="M1" s="995"/>
      <c r="N1" s="995">
        <f>'CBS (Total)'!N2*'Performance &amp; Economics'!$E$17</f>
        <v>18014</v>
      </c>
      <c r="O1" s="995"/>
      <c r="P1" s="995">
        <f>'CBS (Total)'!P2*'Performance &amp; Economics'!$E$17</f>
        <v>36028</v>
      </c>
    </row>
    <row r="2" spans="1:19" ht="20.25" customHeight="1" x14ac:dyDescent="0.25">
      <c r="A2" s="2" t="s">
        <v>1019</v>
      </c>
      <c r="B2" s="480"/>
      <c r="C2" s="480"/>
      <c r="D2" s="480"/>
      <c r="E2" s="480"/>
      <c r="F2" s="480"/>
      <c r="G2" s="480"/>
      <c r="H2" s="480"/>
      <c r="I2" s="57"/>
      <c r="J2" s="1248" t="s">
        <v>65</v>
      </c>
      <c r="K2" s="1248"/>
      <c r="L2" s="1248"/>
      <c r="M2" s="1248"/>
      <c r="N2" s="1248"/>
      <c r="O2" s="1248"/>
      <c r="P2" s="1248"/>
      <c r="Q2" s="57"/>
    </row>
    <row r="3" spans="1:19" ht="22.5" customHeight="1" x14ac:dyDescent="0.25">
      <c r="I3" s="57" t="s">
        <v>110</v>
      </c>
      <c r="J3" s="57">
        <v>1</v>
      </c>
      <c r="K3" s="91" t="s">
        <v>145</v>
      </c>
      <c r="L3" s="57">
        <v>10</v>
      </c>
      <c r="M3" s="91" t="s">
        <v>145</v>
      </c>
      <c r="N3" s="57">
        <v>50</v>
      </c>
      <c r="O3" s="91" t="s">
        <v>146</v>
      </c>
      <c r="P3" s="57">
        <v>100</v>
      </c>
      <c r="Q3" s="91" t="s">
        <v>146</v>
      </c>
      <c r="R3" s="57"/>
      <c r="S3" s="69"/>
    </row>
    <row r="4" spans="1:19" x14ac:dyDescent="0.25">
      <c r="A4" s="69">
        <v>1</v>
      </c>
      <c r="B4" s="57" t="str">
        <f>'CBS (Total)'!B3</f>
        <v>Capex</v>
      </c>
      <c r="J4" s="62"/>
      <c r="K4" s="85"/>
      <c r="L4" s="62"/>
      <c r="M4" s="85"/>
      <c r="N4" s="62"/>
      <c r="O4" s="85"/>
      <c r="P4" s="62"/>
    </row>
    <row r="5" spans="1:19" s="57" customFormat="1" x14ac:dyDescent="0.25">
      <c r="A5" s="1111">
        <f>'CBS (Total)'!A4</f>
        <v>1.1000000000000001</v>
      </c>
      <c r="B5" s="1112"/>
      <c r="C5" s="1112" t="str">
        <f>'CBS (Total)'!C4</f>
        <v>Development</v>
      </c>
      <c r="D5" s="1112"/>
      <c r="E5" s="1112"/>
      <c r="F5" s="1112"/>
      <c r="G5" s="1112"/>
      <c r="H5" s="1112"/>
      <c r="I5" s="1127"/>
      <c r="J5" s="1117">
        <f>'CBS (Total)'!J4/'CBS ($ per kW)'!J$1</f>
        <v>10950.881471778892</v>
      </c>
      <c r="K5" s="1114">
        <f t="shared" ref="K5:K28" si="0">J5/$J$53</f>
        <v>0.2103602627405918</v>
      </c>
      <c r="L5" s="1117">
        <f>'CBS (Total)'!L4/'CBS ($ per kW)'!L$1</f>
        <v>2273.3868308193887</v>
      </c>
      <c r="M5" s="1114">
        <f t="shared" ref="M5:M25" si="1">L5/$L$53</f>
        <v>0.10961485822700237</v>
      </c>
      <c r="N5" s="1117">
        <f>'CBS (Total)'!N4/'CBS ($ per kW)'!N$1</f>
        <v>564.05051370558556</v>
      </c>
      <c r="O5" s="1114">
        <f t="shared" ref="O5:O25" si="2">N5/$N$53</f>
        <v>3.8968811080553493E-2</v>
      </c>
      <c r="P5" s="1117">
        <f>'CBS (Total)'!P4/'CBS ($ per kW)'!P$1</f>
        <v>299.73392885304906</v>
      </c>
      <c r="Q5" s="1115">
        <f t="shared" ref="Q5:Q25" si="3">P5/$P$53</f>
        <v>2.1720105993563475E-2</v>
      </c>
      <c r="R5" s="109"/>
      <c r="S5" s="109"/>
    </row>
    <row r="6" spans="1:19" s="58" customFormat="1" outlineLevel="1" x14ac:dyDescent="0.25">
      <c r="A6" s="1128" t="str">
        <f>'CBS (Total)'!A5</f>
        <v>1.1.1</v>
      </c>
      <c r="B6" s="1129"/>
      <c r="C6" s="1129"/>
      <c r="D6" s="893" t="str">
        <f>'CBS (Total)'!D5</f>
        <v>Permitting and Environmental Compliance</v>
      </c>
      <c r="E6" s="1129"/>
      <c r="F6" s="1129"/>
      <c r="G6" s="1129"/>
      <c r="H6" s="1129"/>
      <c r="I6" s="1130"/>
      <c r="J6" s="1131">
        <f>'CBS (Total)'!J5/'CBS ($ per kW)'!J$1</f>
        <v>8158.931941823027</v>
      </c>
      <c r="K6" s="1132">
        <f t="shared" si="0"/>
        <v>0.15672848540891893</v>
      </c>
      <c r="L6" s="1131">
        <f>'CBS (Total)'!L5/'CBS ($ per kW)'!L$1</f>
        <v>1642.6113023204175</v>
      </c>
      <c r="M6" s="1132">
        <f t="shared" si="1"/>
        <v>7.9201041628726182E-2</v>
      </c>
      <c r="N6" s="1131">
        <f>'CBS (Total)'!N5/'CBS ($ per kW)'!N$1</f>
        <v>315.06050849339402</v>
      </c>
      <c r="O6" s="1132">
        <f t="shared" si="2"/>
        <v>2.1766726802115156E-2</v>
      </c>
      <c r="P6" s="1131">
        <f>'CBS (Total)'!P5/'CBS ($ per kW)'!P$1</f>
        <v>157.53025424669701</v>
      </c>
      <c r="Q6" s="1133">
        <f t="shared" si="3"/>
        <v>1.1415370400421905E-2</v>
      </c>
      <c r="R6" s="85"/>
      <c r="S6" s="85"/>
    </row>
    <row r="7" spans="1:19" s="58" customFormat="1" outlineLevel="2" x14ac:dyDescent="0.25">
      <c r="A7" s="1134" t="str">
        <f>'CBS (Total)'!A6</f>
        <v>1.1.1.1</v>
      </c>
      <c r="B7" s="482"/>
      <c r="C7" s="482"/>
      <c r="D7" s="482"/>
      <c r="E7" s="990" t="str">
        <f>'CBS (Total)'!E6</f>
        <v>Siting &amp; Scoping</v>
      </c>
      <c r="F7" s="482"/>
      <c r="G7" s="482"/>
      <c r="H7" s="482"/>
      <c r="I7" s="1094"/>
      <c r="J7" s="1135">
        <f>'CBS (Total)'!J6/'CBS ($ per kW)'!J$1</f>
        <v>929.83235261463312</v>
      </c>
      <c r="K7" s="1086">
        <f t="shared" si="0"/>
        <v>1.7861555574753475E-2</v>
      </c>
      <c r="L7" s="1135">
        <f>'CBS (Total)'!L6/'CBS ($ per kW)'!L$1</f>
        <v>116.85355834351061</v>
      </c>
      <c r="M7" s="1086">
        <f t="shared" si="1"/>
        <v>5.6342748438144175E-3</v>
      </c>
      <c r="N7" s="1135">
        <f>'CBS (Total)'!N6/'CBS ($ per kW)'!N$1</f>
        <v>23.648273565004995</v>
      </c>
      <c r="O7" s="1086">
        <f t="shared" si="2"/>
        <v>1.633798893084496E-3</v>
      </c>
      <c r="P7" s="1135">
        <f>'CBS (Total)'!P6/'CBS ($ per kW)'!P$1</f>
        <v>11.824136782502498</v>
      </c>
      <c r="Q7" s="1087">
        <f t="shared" si="3"/>
        <v>8.5683160789000641E-4</v>
      </c>
    </row>
    <row r="8" spans="1:19" s="58" customFormat="1" outlineLevel="2" x14ac:dyDescent="0.25">
      <c r="A8" s="1134" t="str">
        <f>'CBS (Total)'!A7</f>
        <v>1.1.1.2</v>
      </c>
      <c r="B8" s="482"/>
      <c r="C8" s="482"/>
      <c r="D8" s="482"/>
      <c r="E8" s="990" t="str">
        <f>'CBS (Total)'!E7</f>
        <v>Pre-Installation Studies</v>
      </c>
      <c r="F8" s="482"/>
      <c r="G8" s="482"/>
      <c r="H8" s="482"/>
      <c r="I8" s="1094"/>
      <c r="J8" s="1135">
        <f>'CBS (Total)'!J7/'CBS ($ per kW)'!J$1</f>
        <v>3370.9892305984235</v>
      </c>
      <c r="K8" s="1086">
        <f t="shared" si="0"/>
        <v>6.4754803718024168E-2</v>
      </c>
      <c r="L8" s="1135">
        <f>'CBS (Total)'!L7/'CBS ($ per kW)'!L$1</f>
        <v>659.76462751193526</v>
      </c>
      <c r="M8" s="1086">
        <f t="shared" si="1"/>
        <v>3.1811570792747913E-2</v>
      </c>
      <c r="N8" s="1135">
        <f>'CBS (Total)'!N7/'CBS ($ per kW)'!N$1</f>
        <v>128.76096369490395</v>
      </c>
      <c r="O8" s="1086">
        <f t="shared" si="2"/>
        <v>8.8957665082382356E-3</v>
      </c>
      <c r="P8" s="1135">
        <f>'CBS (Total)'!P7/'CBS ($ per kW)'!P$1</f>
        <v>64.380481847451975</v>
      </c>
      <c r="Q8" s="1087">
        <f t="shared" si="3"/>
        <v>4.6653073110349058E-3</v>
      </c>
      <c r="R8" s="85"/>
    </row>
    <row r="9" spans="1:19" s="58" customFormat="1" outlineLevel="2" x14ac:dyDescent="0.25">
      <c r="A9" s="1134" t="str">
        <f>'CBS (Total)'!A8</f>
        <v>1.1.1.3</v>
      </c>
      <c r="B9" s="482"/>
      <c r="C9" s="482"/>
      <c r="D9" s="482"/>
      <c r="E9" s="990" t="str">
        <f>'CBS (Total)'!E8</f>
        <v>Post-Installation Studies</v>
      </c>
      <c r="F9" s="482"/>
      <c r="G9" s="482"/>
      <c r="H9" s="482"/>
      <c r="I9" s="1094"/>
      <c r="J9" s="1135">
        <f>'CBS (Total)'!J8/'CBS ($ per kW)'!J$1</f>
        <v>1290.6628178083713</v>
      </c>
      <c r="K9" s="1086">
        <f t="shared" si="0"/>
        <v>2.4792905499284677E-2</v>
      </c>
      <c r="L9" s="1135">
        <f>'CBS (Total)'!L8/'CBS ($ per kW)'!L$1</f>
        <v>578.71655379149558</v>
      </c>
      <c r="M9" s="1086">
        <f t="shared" si="1"/>
        <v>2.7903712706301809E-2</v>
      </c>
      <c r="N9" s="1135">
        <f>'CBS (Total)'!N8/'CBS ($ per kW)'!N$1</f>
        <v>99.089596980126572</v>
      </c>
      <c r="O9" s="1086">
        <f t="shared" si="2"/>
        <v>6.8458474745441917E-3</v>
      </c>
      <c r="P9" s="1135">
        <f>'CBS (Total)'!P8/'CBS ($ per kW)'!P$1</f>
        <v>49.544798490063286</v>
      </c>
      <c r="Q9" s="1087">
        <f t="shared" si="3"/>
        <v>3.5902451175672807E-3</v>
      </c>
      <c r="S9" s="97"/>
    </row>
    <row r="10" spans="1:19" s="58" customFormat="1" outlineLevel="2" x14ac:dyDescent="0.25">
      <c r="A10" s="1134" t="str">
        <f>'CBS (Total)'!A9</f>
        <v>1.1.1.4</v>
      </c>
      <c r="B10" s="482"/>
      <c r="C10" s="482"/>
      <c r="D10" s="482"/>
      <c r="E10" s="990" t="str">
        <f>'CBS (Total)'!E9</f>
        <v>NEPA &amp; Process</v>
      </c>
      <c r="F10" s="482"/>
      <c r="G10" s="482"/>
      <c r="H10" s="482"/>
      <c r="I10" s="1094"/>
      <c r="J10" s="1135">
        <f>'CBS (Total)'!J9/'CBS ($ per kW)'!J$1</f>
        <v>2567.4475408015987</v>
      </c>
      <c r="K10" s="1086">
        <f t="shared" si="0"/>
        <v>4.9319220616856611E-2</v>
      </c>
      <c r="L10" s="1135">
        <f>'CBS (Total)'!L9/'CBS ($ per kW)'!L$1</f>
        <v>287.27656267347623</v>
      </c>
      <c r="M10" s="1086">
        <f t="shared" si="1"/>
        <v>1.3851483285862051E-2</v>
      </c>
      <c r="N10" s="1135">
        <f>'CBS (Total)'!N9/'CBS ($ per kW)'!N$1</f>
        <v>63.561674253358497</v>
      </c>
      <c r="O10" s="1086">
        <f t="shared" si="2"/>
        <v>4.3913139262482343E-3</v>
      </c>
      <c r="P10" s="1135">
        <f>'CBS (Total)'!P9/'CBS ($ per kW)'!P$1</f>
        <v>31.780837126679248</v>
      </c>
      <c r="Q10" s="1087">
        <f t="shared" si="3"/>
        <v>2.3029863639297122E-3</v>
      </c>
    </row>
    <row r="11" spans="1:19" s="58" customFormat="1" outlineLevel="1" x14ac:dyDescent="0.25">
      <c r="A11" s="1134" t="str">
        <f>'CBS (Total)'!A10</f>
        <v>1.1.2</v>
      </c>
      <c r="B11" s="482"/>
      <c r="C11" s="482"/>
      <c r="D11" s="990" t="str">
        <f>'CBS (Total)'!D10</f>
        <v>Site Assessment</v>
      </c>
      <c r="E11" s="482"/>
      <c r="F11" s="482"/>
      <c r="G11" s="482"/>
      <c r="H11" s="482"/>
      <c r="I11" s="1094"/>
      <c r="J11" s="1135">
        <f>'CBS (Total)'!J10/'CBS ($ per kW)'!J$1</f>
        <v>538.36738092594658</v>
      </c>
      <c r="K11" s="1086">
        <f t="shared" si="0"/>
        <v>1.0341734041629578E-2</v>
      </c>
      <c r="L11" s="1135">
        <f>'CBS (Total)'!L10/'CBS ($ per kW)'!L$1</f>
        <v>81.620128788719896</v>
      </c>
      <c r="M11" s="1086">
        <f t="shared" si="1"/>
        <v>3.9354406053370818E-3</v>
      </c>
      <c r="N11" s="1135">
        <f>'CBS (Total)'!N10/'CBS ($ per kW)'!N$1</f>
        <v>16.324025757743978</v>
      </c>
      <c r="O11" s="1086">
        <f t="shared" si="2"/>
        <v>1.127785296477277E-3</v>
      </c>
      <c r="P11" s="1135">
        <f>'CBS (Total)'!P10/'CBS ($ per kW)'!P$1</f>
        <v>8.1620128788719892</v>
      </c>
      <c r="Q11" s="1087">
        <f t="shared" si="3"/>
        <v>5.9145718180221411E-4</v>
      </c>
    </row>
    <row r="12" spans="1:19" s="58" customFormat="1" outlineLevel="1" x14ac:dyDescent="0.25">
      <c r="A12" s="1136" t="str">
        <f>'CBS (Total)'!A11</f>
        <v>1.1.3</v>
      </c>
      <c r="B12" s="183"/>
      <c r="C12" s="183"/>
      <c r="D12" s="885" t="str">
        <f>'CBS (Total)'!D11</f>
        <v>Project Design, Engineering, and Management</v>
      </c>
      <c r="E12" s="183"/>
      <c r="F12" s="183"/>
      <c r="G12" s="183"/>
      <c r="H12" s="183"/>
      <c r="I12" s="1137"/>
      <c r="J12" s="1138">
        <f>'CBS (Total)'!J11/'CBS ($ per kW)'!J$1</f>
        <v>2253.5821490299186</v>
      </c>
      <c r="K12" s="1090">
        <f t="shared" si="0"/>
        <v>4.3290043290043288E-2</v>
      </c>
      <c r="L12" s="1138">
        <f>'CBS (Total)'!L11/'CBS ($ per kW)'!L$1</f>
        <v>549.15539971025123</v>
      </c>
      <c r="M12" s="1090">
        <f t="shared" si="1"/>
        <v>2.6478375992939101E-2</v>
      </c>
      <c r="N12" s="1138">
        <f>'CBS (Total)'!N11/'CBS ($ per kW)'!N$1</f>
        <v>232.66597945444758</v>
      </c>
      <c r="O12" s="1090">
        <f t="shared" si="2"/>
        <v>1.6074298981961065E-2</v>
      </c>
      <c r="P12" s="1138">
        <f>'CBS (Total)'!P11/'CBS ($ per kW)'!P$1</f>
        <v>134.04166172748003</v>
      </c>
      <c r="Q12" s="1139">
        <f t="shared" si="3"/>
        <v>9.713278411339352E-3</v>
      </c>
    </row>
    <row r="13" spans="1:19" s="57" customFormat="1" x14ac:dyDescent="0.25">
      <c r="A13" s="1111">
        <f>'CBS (Total)'!A12</f>
        <v>1.2</v>
      </c>
      <c r="B13" s="1112"/>
      <c r="C13" s="1112" t="str">
        <f>'CBS (Total)'!C12</f>
        <v>Infrastructure</v>
      </c>
      <c r="D13" s="1112"/>
      <c r="E13" s="1112"/>
      <c r="F13" s="1112"/>
      <c r="G13" s="1112"/>
      <c r="H13" s="1112"/>
      <c r="I13" s="1127"/>
      <c r="J13" s="1117">
        <f>'CBS (Total)'!J12/'CBS ($ per kW)'!J$1</f>
        <v>3016.5426890196518</v>
      </c>
      <c r="K13" s="1114">
        <f t="shared" si="0"/>
        <v>5.7946085369080837E-2</v>
      </c>
      <c r="L13" s="1117">
        <f>'CBS (Total)'!L12/'CBS ($ per kW)'!L$1</f>
        <v>2111.6909070722772</v>
      </c>
      <c r="M13" s="1114">
        <f t="shared" si="1"/>
        <v>0.10181843945781494</v>
      </c>
      <c r="N13" s="1117">
        <f>'CBS (Total)'!N12/'CBS ($ per kW)'!N$1</f>
        <v>787.49861219051843</v>
      </c>
      <c r="O13" s="1114">
        <f t="shared" si="2"/>
        <v>5.4406270181447558E-2</v>
      </c>
      <c r="P13" s="1117">
        <f>'CBS (Total)'!P12/'CBS ($ per kW)'!P$1</f>
        <v>921.22793382924397</v>
      </c>
      <c r="Q13" s="1115">
        <f t="shared" si="3"/>
        <v>6.6756434426923278E-2</v>
      </c>
    </row>
    <row r="14" spans="1:19" s="58" customFormat="1" outlineLevel="1" x14ac:dyDescent="0.25">
      <c r="A14" s="1134" t="str">
        <f>'CBS (Total)'!A13</f>
        <v>1.2.1</v>
      </c>
      <c r="B14" s="482"/>
      <c r="C14" s="482"/>
      <c r="D14" s="990" t="str">
        <f>'CBS (Total)'!D13</f>
        <v>Subsea Cables</v>
      </c>
      <c r="E14" s="482"/>
      <c r="F14" s="482"/>
      <c r="G14" s="482"/>
      <c r="H14" s="482"/>
      <c r="I14" s="1094"/>
      <c r="J14" s="1135">
        <f>'CBS (Total)'!J13/'CBS ($ per kW)'!J$1</f>
        <v>2742.3115354724105</v>
      </c>
      <c r="K14" s="1086">
        <f t="shared" si="0"/>
        <v>5.267825942643712E-2</v>
      </c>
      <c r="L14" s="1135">
        <f>'CBS (Total)'!L13/'CBS ($ per kW)'!L$1</f>
        <v>494.06017541911848</v>
      </c>
      <c r="M14" s="1086">
        <f t="shared" si="1"/>
        <v>2.382187463655502E-2</v>
      </c>
      <c r="N14" s="1135">
        <f>'CBS (Total)'!N13/'CBS ($ per kW)'!N$1</f>
        <v>430.77606306206286</v>
      </c>
      <c r="O14" s="1086">
        <f t="shared" si="2"/>
        <v>2.9761219273088474E-2</v>
      </c>
      <c r="P14" s="1135">
        <f>'CBS (Total)'!P13/'CBS ($ per kW)'!P$1</f>
        <v>552.34817364272237</v>
      </c>
      <c r="Q14" s="1087">
        <f t="shared" si="3"/>
        <v>4.0025701870918147E-2</v>
      </c>
    </row>
    <row r="15" spans="1:19" s="58" customFormat="1" outlineLevel="1" x14ac:dyDescent="0.25">
      <c r="A15" s="1134" t="str">
        <f>'CBS (Total)'!A14</f>
        <v>1.2.2</v>
      </c>
      <c r="B15" s="482"/>
      <c r="C15" s="482"/>
      <c r="D15" s="990" t="str">
        <f>'CBS (Total)'!D14</f>
        <v>Terminations and Connectors</v>
      </c>
      <c r="E15" s="482"/>
      <c r="F15" s="482"/>
      <c r="G15" s="482"/>
      <c r="H15" s="482"/>
      <c r="I15" s="1094"/>
      <c r="J15" s="1135">
        <f>'CBS (Total)'!J14/'CBS ($ per kW)'!J$1</f>
        <v>274.23115354724104</v>
      </c>
      <c r="K15" s="1086">
        <f t="shared" si="0"/>
        <v>5.2678259426437116E-3</v>
      </c>
      <c r="L15" s="1135">
        <f>'CBS (Total)'!L14/'CBS ($ per kW)'!L$1</f>
        <v>49.406017541911851</v>
      </c>
      <c r="M15" s="1086">
        <f t="shared" si="1"/>
        <v>2.382187463655502E-3</v>
      </c>
      <c r="N15" s="1135">
        <f>'CBS (Total)'!N14/'CBS ($ per kW)'!N$1</f>
        <v>43.077606306206285</v>
      </c>
      <c r="O15" s="1086">
        <f t="shared" si="2"/>
        <v>2.9761219273088473E-3</v>
      </c>
      <c r="P15" s="1135">
        <f>'CBS (Total)'!P14/'CBS ($ per kW)'!P$1</f>
        <v>55.234817364272232</v>
      </c>
      <c r="Q15" s="1087">
        <f t="shared" si="3"/>
        <v>4.0025701870918138E-3</v>
      </c>
    </row>
    <row r="16" spans="1:19" s="58" customFormat="1" outlineLevel="1" x14ac:dyDescent="0.25">
      <c r="A16" s="1134" t="str">
        <f>'CBS (Total)'!A15</f>
        <v>1.2.3</v>
      </c>
      <c r="B16" s="482"/>
      <c r="C16" s="482"/>
      <c r="D16" s="990" t="str">
        <f>'CBS (Total)'!D15</f>
        <v>Dockside Improvements</v>
      </c>
      <c r="E16" s="482"/>
      <c r="F16" s="482"/>
      <c r="G16" s="482"/>
      <c r="H16" s="482"/>
      <c r="I16" s="1094"/>
      <c r="J16" s="1135">
        <f>'CBS (Total)'!J15/'CBS ($ per kW)'!J$1</f>
        <v>0</v>
      </c>
      <c r="K16" s="1086">
        <f t="shared" si="0"/>
        <v>0</v>
      </c>
      <c r="L16" s="1135">
        <f>'CBS (Total)'!L15/'CBS ($ per kW)'!L$1</f>
        <v>0</v>
      </c>
      <c r="M16" s="1086">
        <f t="shared" si="1"/>
        <v>0</v>
      </c>
      <c r="N16" s="1135">
        <f>'CBS (Total)'!N15/'CBS ($ per kW)'!N$1</f>
        <v>0</v>
      </c>
      <c r="O16" s="1086">
        <f t="shared" si="2"/>
        <v>0</v>
      </c>
      <c r="P16" s="1135">
        <f>'CBS (Total)'!P15/'CBS ($ per kW)'!P$1</f>
        <v>0</v>
      </c>
      <c r="Q16" s="1087">
        <f t="shared" si="3"/>
        <v>0</v>
      </c>
    </row>
    <row r="17" spans="1:27" s="58" customFormat="1" outlineLevel="1" x14ac:dyDescent="0.25">
      <c r="A17" s="1134" t="str">
        <f>'CBS (Total)'!A16</f>
        <v>1.2.4</v>
      </c>
      <c r="B17" s="482"/>
      <c r="C17" s="482"/>
      <c r="D17" s="990" t="str">
        <f>'CBS (Total)'!D16</f>
        <v>Dedicated O&amp;M Vessel</v>
      </c>
      <c r="E17" s="482"/>
      <c r="F17" s="482"/>
      <c r="G17" s="482"/>
      <c r="H17" s="482"/>
      <c r="I17" s="1094"/>
      <c r="J17" s="1135">
        <f>'CBS (Total)'!J16/'CBS ($ per kW)'!J$1</f>
        <v>0</v>
      </c>
      <c r="K17" s="1086">
        <f t="shared" si="0"/>
        <v>0</v>
      </c>
      <c r="L17" s="1135">
        <f>'CBS (Total)'!L16/'CBS ($ per kW)'!L$1</f>
        <v>1568.2247141112468</v>
      </c>
      <c r="M17" s="1086">
        <f t="shared" si="1"/>
        <v>7.5614377357604415E-2</v>
      </c>
      <c r="N17" s="1135">
        <f>'CBS (Total)'!N16/'CBS ($ per kW)'!N$1</f>
        <v>313.64494282224933</v>
      </c>
      <c r="O17" s="1086">
        <f t="shared" si="2"/>
        <v>2.1668928981050238E-2</v>
      </c>
      <c r="P17" s="1135">
        <f>'CBS (Total)'!P16/'CBS ($ per kW)'!P$1</f>
        <v>313.64494282224933</v>
      </c>
      <c r="Q17" s="1087">
        <f t="shared" si="3"/>
        <v>2.2728162368913316E-2</v>
      </c>
    </row>
    <row r="18" spans="1:27" s="58" customFormat="1" outlineLevel="1" x14ac:dyDescent="0.25">
      <c r="A18" s="1136" t="str">
        <f>'CBS (Total)'!A17</f>
        <v>1.2.5</v>
      </c>
      <c r="B18" s="183"/>
      <c r="C18" s="183"/>
      <c r="D18" s="885" t="str">
        <f>'CBS (Total)'!D17</f>
        <v>Other</v>
      </c>
      <c r="E18" s="183"/>
      <c r="F18" s="183"/>
      <c r="G18" s="183"/>
      <c r="H18" s="183"/>
      <c r="I18" s="1137"/>
      <c r="J18" s="1138">
        <f>'CBS (Total)'!J17/'CBS ($ per kW)'!J$1</f>
        <v>0</v>
      </c>
      <c r="K18" s="1090">
        <f t="shared" si="0"/>
        <v>0</v>
      </c>
      <c r="L18" s="1138">
        <f>'CBS (Total)'!L17/'CBS ($ per kW)'!L$1</f>
        <v>0</v>
      </c>
      <c r="M18" s="1090">
        <f t="shared" si="1"/>
        <v>0</v>
      </c>
      <c r="N18" s="1138">
        <f>'CBS (Total)'!N17/'CBS ($ per kW)'!N$1</f>
        <v>0</v>
      </c>
      <c r="O18" s="1090">
        <f t="shared" si="2"/>
        <v>0</v>
      </c>
      <c r="P18" s="1138">
        <f>'CBS (Total)'!P17/'CBS ($ per kW)'!P$1</f>
        <v>0</v>
      </c>
      <c r="Q18" s="1139">
        <f t="shared" si="3"/>
        <v>0</v>
      </c>
    </row>
    <row r="19" spans="1:27" s="57" customFormat="1" x14ac:dyDescent="0.25">
      <c r="A19" s="1111">
        <f>'CBS (Total)'!A18</f>
        <v>1.3</v>
      </c>
      <c r="B19" s="1112"/>
      <c r="C19" s="1112" t="str">
        <f>'CBS (Total)'!C18</f>
        <v>Mooring/Foundation</v>
      </c>
      <c r="D19" s="1112"/>
      <c r="E19" s="1112"/>
      <c r="F19" s="1112"/>
      <c r="G19" s="1112"/>
      <c r="H19" s="1112"/>
      <c r="I19" s="1127"/>
      <c r="J19" s="1117">
        <f>'CBS (Total)'!J18/'CBS ($ per kW)'!J$1</f>
        <v>3508.1543277892988</v>
      </c>
      <c r="K19" s="1114">
        <f t="shared" si="0"/>
        <v>6.7389667948658943E-2</v>
      </c>
      <c r="L19" s="1117">
        <f>'CBS (Total)'!L18/'CBS ($ per kW)'!L$1</f>
        <v>2312.1484159068318</v>
      </c>
      <c r="M19" s="1114">
        <f t="shared" si="1"/>
        <v>0.11148380793517085</v>
      </c>
      <c r="N19" s="1117">
        <f>'CBS (Total)'!N18/'CBS ($ per kW)'!N$1</f>
        <v>2086.9498999620623</v>
      </c>
      <c r="O19" s="1114">
        <f t="shared" si="2"/>
        <v>0.14418204471071699</v>
      </c>
      <c r="P19" s="1117">
        <f>'CBS (Total)'!P18/'CBS ($ per kW)'!P$1</f>
        <v>2019.2502216641549</v>
      </c>
      <c r="Q19" s="1115">
        <f t="shared" si="3"/>
        <v>0.14632420497038379</v>
      </c>
    </row>
    <row r="20" spans="1:27" s="58" customFormat="1" outlineLevel="1" x14ac:dyDescent="0.25">
      <c r="A20" s="1134" t="str">
        <f>'CBS (Total)'!A19</f>
        <v>1.3.1</v>
      </c>
      <c r="B20" s="482"/>
      <c r="C20" s="482"/>
      <c r="D20" s="990" t="str">
        <f>'CBS (Total)'!D19</f>
        <v>Mooring lines/chain</v>
      </c>
      <c r="E20" s="482"/>
      <c r="F20" s="482"/>
      <c r="G20" s="482"/>
      <c r="H20" s="482"/>
      <c r="I20" s="1094"/>
      <c r="J20" s="1147">
        <f>'CBS (Total)'!J19/'CBS ($ per kW)'!J$1</f>
        <v>973.93310061343493</v>
      </c>
      <c r="K20" s="1086">
        <f t="shared" si="0"/>
        <v>1.870870609500996E-2</v>
      </c>
      <c r="L20" s="1147">
        <f>'CBS (Total)'!L19/'CBS ($ per kW)'!L$1</f>
        <v>876.53979055209152</v>
      </c>
      <c r="M20" s="1086">
        <f t="shared" si="1"/>
        <v>4.2263720176941223E-2</v>
      </c>
      <c r="N20" s="1147">
        <f>'CBS (Total)'!N19/'CBS ($ per kW)'!N$1</f>
        <v>876.53979055209152</v>
      </c>
      <c r="O20" s="1086">
        <f t="shared" si="2"/>
        <v>6.0557898047481441E-2</v>
      </c>
      <c r="P20" s="1147">
        <f>'CBS (Total)'!P19/'CBS ($ per kW)'!P$1</f>
        <v>876.53979055209152</v>
      </c>
      <c r="Q20" s="1087">
        <f t="shared" si="3"/>
        <v>6.3518124995790529E-2</v>
      </c>
    </row>
    <row r="21" spans="1:27" s="58" customFormat="1" outlineLevel="1" x14ac:dyDescent="0.25">
      <c r="A21" s="1134" t="str">
        <f>'CBS (Total)'!A20</f>
        <v>1.3.2</v>
      </c>
      <c r="B21" s="482"/>
      <c r="C21" s="482"/>
      <c r="D21" s="990" t="str">
        <f>'CBS (Total)'!D20</f>
        <v>Anchors</v>
      </c>
      <c r="E21" s="482"/>
      <c r="F21" s="482"/>
      <c r="G21" s="482"/>
      <c r="H21" s="482"/>
      <c r="I21" s="1094"/>
      <c r="J21" s="1147">
        <f>'CBS (Total)'!J20/'CBS ($ per kW)'!J$1</f>
        <v>2083.7382694762973</v>
      </c>
      <c r="K21" s="1086">
        <f t="shared" si="0"/>
        <v>4.0027438063253505E-2</v>
      </c>
      <c r="L21" s="1147">
        <f>'CBS (Total)'!L20/'CBS ($ per kW)'!L$1</f>
        <v>1030.1739634251298</v>
      </c>
      <c r="M21" s="1086">
        <f t="shared" si="1"/>
        <v>4.9671429173052138E-2</v>
      </c>
      <c r="N21" s="1147">
        <f>'CBS (Total)'!N20/'CBS ($ per kW)'!N$1</f>
        <v>804.97544748036091</v>
      </c>
      <c r="O21" s="1086">
        <f t="shared" si="2"/>
        <v>5.5613700147642581E-2</v>
      </c>
      <c r="P21" s="1147">
        <f>'CBS (Total)'!P20/'CBS ($ per kW)'!P$1</f>
        <v>737.2757691824529</v>
      </c>
      <c r="Q21" s="1087">
        <f t="shared" si="3"/>
        <v>5.3426410264618314E-2</v>
      </c>
    </row>
    <row r="22" spans="1:27" s="58" customFormat="1" outlineLevel="1" x14ac:dyDescent="0.25">
      <c r="A22" s="1134" t="str">
        <f>'CBS (Total)'!A21</f>
        <v>1.3.3</v>
      </c>
      <c r="B22" s="482"/>
      <c r="C22" s="482"/>
      <c r="D22" s="990" t="str">
        <f>'CBS (Total)'!D21</f>
        <v>Buoyancy</v>
      </c>
      <c r="E22" s="482"/>
      <c r="F22" s="482"/>
      <c r="G22" s="482"/>
      <c r="H22" s="482"/>
      <c r="I22" s="1094"/>
      <c r="J22" s="1147">
        <f>'CBS (Total)'!J21/'CBS ($ per kW)'!J$1</f>
        <v>166.53713778172533</v>
      </c>
      <c r="K22" s="1086">
        <f t="shared" si="0"/>
        <v>3.1990845805528615E-3</v>
      </c>
      <c r="L22" s="1147">
        <f>'CBS (Total)'!L21/'CBS ($ per kW)'!L$1</f>
        <v>149.88342400355279</v>
      </c>
      <c r="M22" s="1086">
        <f t="shared" si="1"/>
        <v>7.2268608447975894E-3</v>
      </c>
      <c r="N22" s="1147">
        <f>'CBS (Total)'!N21/'CBS ($ per kW)'!N$1</f>
        <v>149.88342400355279</v>
      </c>
      <c r="O22" s="1086">
        <f t="shared" si="2"/>
        <v>1.0355063406873566E-2</v>
      </c>
      <c r="P22" s="1147">
        <f>'CBS (Total)'!P21/'CBS ($ per kW)'!P$1</f>
        <v>149.88342400355279</v>
      </c>
      <c r="Q22" s="1087">
        <f t="shared" si="3"/>
        <v>1.0861245733816983E-2</v>
      </c>
    </row>
    <row r="23" spans="1:27" s="58" customFormat="1" outlineLevel="1" x14ac:dyDescent="0.25">
      <c r="A23" s="1134" t="str">
        <f>'CBS (Total)'!A22</f>
        <v>1.3.4</v>
      </c>
      <c r="B23" s="482"/>
      <c r="C23" s="482"/>
      <c r="D23" s="990" t="str">
        <f>'CBS (Total)'!D22</f>
        <v>Connecting Hardware (shackles etc.)</v>
      </c>
      <c r="E23" s="482"/>
      <c r="F23" s="482"/>
      <c r="G23" s="482"/>
      <c r="H23" s="482"/>
      <c r="I23" s="1094"/>
      <c r="J23" s="1147">
        <f>'CBS (Total)'!J22/'CBS ($ per kW)'!J$1</f>
        <v>283.94581991784167</v>
      </c>
      <c r="K23" s="1086">
        <f t="shared" si="0"/>
        <v>5.4544392098426287E-3</v>
      </c>
      <c r="L23" s="1147">
        <f>'CBS (Total)'!L22/'CBS ($ per kW)'!L$1</f>
        <v>255.55123792605752</v>
      </c>
      <c r="M23" s="1086">
        <f t="shared" si="1"/>
        <v>1.2321797740379892E-2</v>
      </c>
      <c r="N23" s="1147">
        <f>'CBS (Total)'!N22/'CBS ($ per kW)'!N$1</f>
        <v>255.55123792605752</v>
      </c>
      <c r="O23" s="1086">
        <f t="shared" si="2"/>
        <v>1.7655383108719433E-2</v>
      </c>
      <c r="P23" s="1147">
        <f>'CBS (Total)'!P22/'CBS ($ per kW)'!P$1</f>
        <v>255.55123792605752</v>
      </c>
      <c r="Q23" s="1087">
        <f t="shared" si="3"/>
        <v>1.8518423976157959E-2</v>
      </c>
      <c r="R23" s="97"/>
    </row>
    <row r="24" spans="1:27" s="57" customFormat="1" x14ac:dyDescent="0.25">
      <c r="A24" s="1111">
        <f>'CBS (Total)'!A23</f>
        <v>1.4</v>
      </c>
      <c r="B24" s="1112"/>
      <c r="C24" s="1112" t="str">
        <f>'CBS (Total)'!C23</f>
        <v>Device Structural Components</v>
      </c>
      <c r="D24" s="1112"/>
      <c r="E24" s="1112"/>
      <c r="F24" s="1112"/>
      <c r="G24" s="1112"/>
      <c r="H24" s="1112"/>
      <c r="I24" s="1116">
        <f>'CBS (Total)'!I23</f>
        <v>799.54600000000005</v>
      </c>
      <c r="J24" s="1117">
        <f>'CBS (Total)'!J23/'CBS ($ per kW)'!J$1</f>
        <v>10594.664319418232</v>
      </c>
      <c r="K24" s="1114">
        <f t="shared" si="0"/>
        <v>0.20351753195618844</v>
      </c>
      <c r="L24" s="1117">
        <f>'CBS (Total)'!L23/'CBS ($ per kW)'!L$1</f>
        <v>7449.2455839902314</v>
      </c>
      <c r="M24" s="1114">
        <f t="shared" si="1"/>
        <v>0.35917688424935018</v>
      </c>
      <c r="N24" s="1117">
        <f>'CBS (Total)'!N23/'CBS ($ per kW)'!N$1</f>
        <v>6598.8377456422786</v>
      </c>
      <c r="O24" s="1114">
        <f t="shared" si="2"/>
        <v>0.45589686599484619</v>
      </c>
      <c r="P24" s="1117">
        <f>'CBS (Total)'!P23/'CBS ($ per kW)'!P$1</f>
        <v>6410.7667813922499</v>
      </c>
      <c r="Q24" s="1115">
        <f t="shared" si="3"/>
        <v>0.4645537945092697</v>
      </c>
      <c r="R24" s="89"/>
      <c r="S24" s="89"/>
      <c r="T24" s="89"/>
      <c r="U24" s="89"/>
      <c r="V24" s="90"/>
      <c r="W24" s="89"/>
      <c r="X24" s="89"/>
      <c r="Y24" s="89"/>
    </row>
    <row r="25" spans="1:27" s="58" customFormat="1" outlineLevel="1" x14ac:dyDescent="0.25">
      <c r="A25" s="1134" t="str">
        <f>'CBS (Total)'!A24</f>
        <v>1.4.1</v>
      </c>
      <c r="B25" s="482"/>
      <c r="C25" s="482"/>
      <c r="D25" s="990" t="str">
        <f>'CBS (Total)'!D24</f>
        <v xml:space="preserve">Surge Frame </v>
      </c>
      <c r="E25" s="482"/>
      <c r="F25" s="482"/>
      <c r="G25" s="482"/>
      <c r="H25" s="482"/>
      <c r="I25" s="1094">
        <f>'CBS (Total)'!I24</f>
        <v>301</v>
      </c>
      <c r="J25" s="1135">
        <f>'CBS (Total)'!J24/'CBS ($ per kW)'!J$1</f>
        <v>3572.1819140668372</v>
      </c>
      <c r="K25" s="1086">
        <f t="shared" si="0"/>
        <v>6.8619601804367186E-2</v>
      </c>
      <c r="L25" s="1135">
        <f>'CBS (Total)'!L24/'CBS ($ per kW)'!L$1</f>
        <v>2511.6473298545579</v>
      </c>
      <c r="M25" s="1086">
        <f t="shared" si="1"/>
        <v>0.12110295627911508</v>
      </c>
      <c r="N25" s="1135">
        <f>'CBS (Total)'!N24/'CBS ($ per kW)'!N$1</f>
        <v>2224.9170089930053</v>
      </c>
      <c r="O25" s="1086">
        <f t="shared" si="2"/>
        <v>0.15371384031504337</v>
      </c>
      <c r="P25" s="1135">
        <f>'CBS (Total)'!P24/$P$1</f>
        <v>2161.505495725547</v>
      </c>
      <c r="Q25" s="1087">
        <f t="shared" si="3"/>
        <v>0.1566326796985541</v>
      </c>
      <c r="R25" s="132"/>
      <c r="S25" s="132"/>
      <c r="T25" s="132"/>
      <c r="U25" s="132"/>
      <c r="V25" s="85"/>
      <c r="W25" s="85"/>
      <c r="X25" s="85"/>
      <c r="Y25" s="85"/>
      <c r="AA25" s="97"/>
    </row>
    <row r="26" spans="1:27" s="58" customFormat="1" outlineLevel="1" x14ac:dyDescent="0.25">
      <c r="A26" s="1134" t="str">
        <f>'CBS (Total)'!A25</f>
        <v>1.4.2</v>
      </c>
      <c r="B26" s="482"/>
      <c r="C26" s="482"/>
      <c r="D26" s="990" t="str">
        <f>'CBS (Total)'!D25</f>
        <v>Surge Flap</v>
      </c>
      <c r="E26" s="482"/>
      <c r="F26" s="482"/>
      <c r="G26" s="482"/>
      <c r="H26" s="482">
        <f>J26/J24</f>
        <v>0.66283198727498782</v>
      </c>
      <c r="I26" s="1094">
        <f>'CBS (Total)'!I25</f>
        <v>498.54599999999999</v>
      </c>
      <c r="J26" s="1135">
        <f>'CBS (Total)'!J25/'CBS ($ per kW)'!J$1</f>
        <v>7022.4824053513939</v>
      </c>
      <c r="K26" s="1086">
        <f t="shared" si="0"/>
        <v>0.13489793015182125</v>
      </c>
      <c r="L26" s="1135">
        <f>'CBS (Total)'!L25/'CBS ($ per kW)'!L$1</f>
        <v>4937.5982541356734</v>
      </c>
      <c r="M26" s="1086">
        <f t="shared" ref="M26:M30" si="4">L26/$L$53</f>
        <v>0.23807392797023513</v>
      </c>
      <c r="N26" s="1135">
        <f>'CBS (Total)'!N25/'CBS ($ per kW)'!N$1</f>
        <v>4373.9207366492728</v>
      </c>
      <c r="O26" s="1086">
        <f t="shared" ref="O26:O30" si="5">N26/$N$53</f>
        <v>0.30218302567980276</v>
      </c>
      <c r="P26" s="1135">
        <f>'CBS (Total)'!P25/$P$1</f>
        <v>4249.2612856667038</v>
      </c>
      <c r="Q26" s="1087">
        <f t="shared" ref="Q26:Q30" si="6">P26/$P$53</f>
        <v>0.30792111481071566</v>
      </c>
      <c r="R26" s="132"/>
      <c r="S26" s="132"/>
      <c r="T26" s="132"/>
      <c r="U26" s="132"/>
      <c r="V26" s="85"/>
      <c r="W26" s="85"/>
      <c r="X26" s="85"/>
      <c r="Y26" s="85"/>
    </row>
    <row r="27" spans="1:27" s="58" customFormat="1" outlineLevel="1" x14ac:dyDescent="0.25">
      <c r="A27" s="1134" t="str">
        <f>'CBS (Total)'!A26</f>
        <v>1.4.2.1</v>
      </c>
      <c r="B27" s="482"/>
      <c r="C27" s="482"/>
      <c r="D27" s="990" t="str">
        <f>'CBS (Total)'!D26</f>
        <v>Fiberglass Tubing</v>
      </c>
      <c r="E27" s="482"/>
      <c r="F27" s="482"/>
      <c r="G27" s="482"/>
      <c r="H27" s="482"/>
      <c r="I27" s="1094">
        <f>'CBS (Total)'!I26</f>
        <v>71.680000000000007</v>
      </c>
      <c r="J27" s="1135">
        <f>'CBS (Total)'!J26/'CBS ($ per kW)'!J$1</f>
        <v>1956.5588009326082</v>
      </c>
      <c r="K27" s="1086">
        <f t="shared" si="0"/>
        <v>3.7584392132475719E-2</v>
      </c>
      <c r="L27" s="1135">
        <f>'CBS (Total)'!L26/'CBS ($ per kW)'!L$1</f>
        <v>1375.6818119240593</v>
      </c>
      <c r="M27" s="1086">
        <f t="shared" si="4"/>
        <v>6.6330623867109736E-2</v>
      </c>
      <c r="N27" s="1135">
        <f>'CBS (Total)'!N26/'CBS ($ per kW)'!N$1</f>
        <v>1218.6336138558897</v>
      </c>
      <c r="O27" s="1086">
        <f t="shared" si="5"/>
        <v>8.4192287606974461E-2</v>
      </c>
      <c r="P27" s="1135">
        <f>'CBS (Total)'!P26/$P$1</f>
        <v>1183.9018008215833</v>
      </c>
      <c r="Q27" s="1087">
        <f t="shared" si="6"/>
        <v>8.5790997029310381E-2</v>
      </c>
      <c r="R27" s="132"/>
      <c r="S27" s="132"/>
      <c r="T27" s="132"/>
      <c r="U27" s="132"/>
      <c r="V27" s="85"/>
      <c r="W27" s="85"/>
      <c r="X27" s="85"/>
      <c r="Y27" s="85"/>
    </row>
    <row r="28" spans="1:27" s="58" customFormat="1" outlineLevel="1" x14ac:dyDescent="0.25">
      <c r="A28" s="1134" t="str">
        <f>'CBS (Total)'!A27</f>
        <v>1.4.2.2</v>
      </c>
      <c r="B28" s="482"/>
      <c r="C28" s="482"/>
      <c r="D28" s="990" t="str">
        <f>'CBS (Total)'!D27</f>
        <v>Upright Support Structures - Side (2)</v>
      </c>
      <c r="E28" s="482"/>
      <c r="F28" s="482"/>
      <c r="G28" s="482"/>
      <c r="H28" s="482"/>
      <c r="I28" s="1094">
        <f>'CBS (Total)'!I29</f>
        <v>215</v>
      </c>
      <c r="J28" s="1135">
        <f>'CBS (Total)'!J27/'CBS ($ per kW)'!J$1</f>
        <v>1783.3139119573664</v>
      </c>
      <c r="K28" s="1086">
        <f t="shared" si="0"/>
        <v>3.4256455431013411E-2</v>
      </c>
      <c r="L28" s="1135">
        <f>'CBS (Total)'!L27/'CBS ($ per kW)'!L$1</f>
        <v>1253.8710885977573</v>
      </c>
      <c r="M28" s="1086">
        <f t="shared" si="4"/>
        <v>6.0457331655274102E-2</v>
      </c>
      <c r="N28" s="1135">
        <f>'CBS (Total)'!N27/'CBS ($ per kW)'!N$1</f>
        <v>1110.7288347951592</v>
      </c>
      <c r="O28" s="1086">
        <f t="shared" si="5"/>
        <v>7.6737421690300026E-2</v>
      </c>
      <c r="P28" s="1135">
        <f>'CBS (Total)'!P27/$P$1</f>
        <v>1079.0723748195846</v>
      </c>
      <c r="Q28" s="1087">
        <f t="shared" si="6"/>
        <v>7.819457225110607E-2</v>
      </c>
    </row>
    <row r="29" spans="1:27" s="882" customFormat="1" outlineLevel="1" x14ac:dyDescent="0.25">
      <c r="A29" s="1134" t="str">
        <f>'CBS (Total)'!A28</f>
        <v>1.4.2.3</v>
      </c>
      <c r="B29" s="482"/>
      <c r="C29" s="482"/>
      <c r="D29" s="990" t="str">
        <f>'CBS (Total)'!D28</f>
        <v>Upright Support Structures - Center</v>
      </c>
      <c r="E29" s="482"/>
      <c r="F29" s="482"/>
      <c r="G29" s="482"/>
      <c r="H29" s="482"/>
      <c r="I29" s="1094"/>
      <c r="J29" s="1135">
        <f>'CBS (Total)'!J28/'CBS ($ per kW)'!J$1</f>
        <v>731.05118241367825</v>
      </c>
      <c r="K29" s="1086">
        <f t="shared" ref="K29:K30" si="7">J29/$J$53</f>
        <v>1.4043081299498399E-2</v>
      </c>
      <c r="L29" s="1135">
        <f>'CBS (Total)'!L28/'CBS ($ per kW)'!L$1</f>
        <v>514.01154657488621</v>
      </c>
      <c r="M29" s="1086">
        <f t="shared" si="4"/>
        <v>2.4783860819911921E-2</v>
      </c>
      <c r="N29" s="1135">
        <f>'CBS (Total)'!N28/'CBS ($ per kW)'!N$1</f>
        <v>455.33185300321969</v>
      </c>
      <c r="O29" s="1086">
        <f t="shared" si="5"/>
        <v>3.1457716157497248E-2</v>
      </c>
      <c r="P29" s="1135">
        <f>'CBS (Total)'!P28/$P$1</f>
        <v>442.35461307871657</v>
      </c>
      <c r="Q29" s="1087">
        <f t="shared" si="6"/>
        <v>3.2055060031332003E-2</v>
      </c>
    </row>
    <row r="30" spans="1:27" s="882" customFormat="1" outlineLevel="1" x14ac:dyDescent="0.25">
      <c r="A30" s="1134" t="str">
        <f>'CBS (Total)'!A29</f>
        <v>1.4.2.4</v>
      </c>
      <c r="B30" s="482"/>
      <c r="C30" s="482"/>
      <c r="D30" s="990" t="str">
        <f>'CBS (Total)'!D29</f>
        <v>Torque Tube</v>
      </c>
      <c r="E30" s="482"/>
      <c r="F30" s="482"/>
      <c r="G30" s="482"/>
      <c r="H30" s="482"/>
      <c r="I30" s="1094"/>
      <c r="J30" s="1135">
        <f>'CBS (Total)'!J29/'CBS ($ per kW)'!J$1</f>
        <v>2551.558510047741</v>
      </c>
      <c r="K30" s="1086">
        <f t="shared" si="7"/>
        <v>4.9014001288833701E-2</v>
      </c>
      <c r="L30" s="1135">
        <f>'CBS (Total)'!L29/'CBS ($ per kW)'!L$1</f>
        <v>1794.0338070389698</v>
      </c>
      <c r="M30" s="1086">
        <f t="shared" si="4"/>
        <v>8.6502111627939332E-2</v>
      </c>
      <c r="N30" s="1135">
        <f>'CBS (Total)'!N29/'CBS ($ per kW)'!N$1</f>
        <v>1589.226434995004</v>
      </c>
      <c r="O30" s="1086">
        <f t="shared" si="5"/>
        <v>0.109795600225031</v>
      </c>
      <c r="P30" s="1135">
        <f>'CBS (Total)'!P29/$P$1</f>
        <v>1543.9324969468191</v>
      </c>
      <c r="Q30" s="1087">
        <f t="shared" si="6"/>
        <v>0.11188048549896722</v>
      </c>
    </row>
    <row r="31" spans="1:27" s="57" customFormat="1" x14ac:dyDescent="0.25">
      <c r="A31" s="1111">
        <f>'CBS (Total)'!A30</f>
        <v>1.5</v>
      </c>
      <c r="B31" s="1112"/>
      <c r="C31" s="1112" t="str">
        <f>'CBS (Total)'!C30</f>
        <v>Power Take Off</v>
      </c>
      <c r="D31" s="1112"/>
      <c r="E31" s="1112"/>
      <c r="F31" s="1112"/>
      <c r="G31" s="1112"/>
      <c r="H31" s="1112"/>
      <c r="I31" s="1116">
        <f>'CBS (Total)'!I30</f>
        <v>36.618865698729586</v>
      </c>
      <c r="J31" s="1117">
        <f>'CBS (Total)'!J30/'CBS ($ per kW)'!J$1</f>
        <v>1632.4629700486742</v>
      </c>
      <c r="K31" s="1114">
        <f>J31/$J$53</f>
        <v>3.135869383471121E-2</v>
      </c>
      <c r="L31" s="1117">
        <f>'CBS (Total)'!L30/'CBS ($ per kW)'!L$1</f>
        <v>1311.0267296694515</v>
      </c>
      <c r="M31" s="1114">
        <f>L31/$L$53</f>
        <v>6.3213179189892346E-2</v>
      </c>
      <c r="N31" s="1117">
        <f>'CBS (Total)'!N30/'CBS ($ per kW)'!N$1</f>
        <v>1150.985119766332</v>
      </c>
      <c r="O31" s="1114">
        <f>N31/$N$53</f>
        <v>7.9518625723854694E-2</v>
      </c>
      <c r="P31" s="1117">
        <f>'CBS (Total)'!P30/'CBS ($ per kW)'!P$1</f>
        <v>1093.1028318686954</v>
      </c>
      <c r="Q31" s="1115">
        <f>P31/$P$53</f>
        <v>7.9211284024147385E-2</v>
      </c>
    </row>
    <row r="32" spans="1:27" s="58" customFormat="1" outlineLevel="1" x14ac:dyDescent="0.25">
      <c r="A32" s="1134" t="str">
        <f>'CBS (Total)'!A31</f>
        <v>1.5.1</v>
      </c>
      <c r="B32" s="482"/>
      <c r="C32" s="482"/>
      <c r="D32" s="990" t="str">
        <f>'CBS (Total)'!D31</f>
        <v>Generator</v>
      </c>
      <c r="E32" s="482"/>
      <c r="F32" s="482"/>
      <c r="G32" s="482"/>
      <c r="H32" s="482"/>
      <c r="I32" s="1094">
        <f>'CBS (Total)'!I31</f>
        <v>0.90800000000000003</v>
      </c>
      <c r="J32" s="1135">
        <f>'CBS (Total)'!J31/'CBS ($ per kW)'!J$1</f>
        <v>91.59542577994894</v>
      </c>
      <c r="K32" s="1086">
        <f>J32/$J$53</f>
        <v>1.7594965193040739E-3</v>
      </c>
      <c r="L32" s="1135">
        <f>'CBS (Total)'!L31/'CBS ($ per kW)'!L$1</f>
        <v>80.813048328630629</v>
      </c>
      <c r="M32" s="1086">
        <f>L32/$L$53</f>
        <v>3.8965259740868508E-3</v>
      </c>
      <c r="N32" s="1135">
        <f>'CBS (Total)'!N31/'CBS ($ per kW)'!N$1</f>
        <v>74.039402451872576</v>
      </c>
      <c r="O32" s="1086">
        <f>N32/$N$53</f>
        <v>5.1151934384551919E-3</v>
      </c>
      <c r="P32" s="1135">
        <f>'CBS (Total)'!P31/'CBS ($ per kW)'!P$1</f>
        <v>71.299944561153268</v>
      </c>
      <c r="Q32" s="1087">
        <f>P32/$P$53</f>
        <v>5.166723564227203E-3</v>
      </c>
    </row>
    <row r="33" spans="1:18" s="58" customFormat="1" ht="14.45" outlineLevel="1" x14ac:dyDescent="0.3">
      <c r="A33" s="1134" t="str">
        <f>'CBS (Total)'!A32</f>
        <v>1.5.2</v>
      </c>
      <c r="B33" s="482"/>
      <c r="C33" s="482"/>
      <c r="D33" s="990" t="str">
        <f>'CBS (Total)'!D32</f>
        <v>Hydraulic Components</v>
      </c>
      <c r="E33" s="482"/>
      <c r="F33" s="482"/>
      <c r="G33" s="482"/>
      <c r="H33" s="482"/>
      <c r="I33" s="1094">
        <f>'CBS (Total)'!I32</f>
        <v>18.110321234119784</v>
      </c>
      <c r="J33" s="1135">
        <f>'CBS (Total)'!J32/'CBS ($ per kW)'!J$1</f>
        <v>725.98461715919677</v>
      </c>
      <c r="K33" s="1086">
        <f>J33/$J$53</f>
        <v>1.394575543574289E-2</v>
      </c>
      <c r="L33" s="1135">
        <f>'CBS (Total)'!L32/'CBS ($ per kW)'!L$1</f>
        <v>661.98159543062911</v>
      </c>
      <c r="M33" s="1086">
        <f t="shared" ref="M33:M41" si="8">L33/$L$53</f>
        <v>3.1918465325964616E-2</v>
      </c>
      <c r="N33" s="1135">
        <f>'CBS (Total)'!N32/'CBS ($ per kW)'!N$1</f>
        <v>620.62625879704058</v>
      </c>
      <c r="O33" s="1086">
        <f t="shared" ref="O33:O41" si="9">N33/$N$53</f>
        <v>4.28774849823403E-2</v>
      </c>
      <c r="P33" s="1135">
        <f>'CBS (Total)'!P32/'CBS ($ per kW)'!P$1</f>
        <v>603.62109930600161</v>
      </c>
      <c r="Q33" s="1087">
        <f t="shared" ref="Q33:Q41" si="10">P33/$P$53</f>
        <v>4.3741175071659852E-2</v>
      </c>
    </row>
    <row r="34" spans="1:18" s="58" customFormat="1" ht="14.45" outlineLevel="1" x14ac:dyDescent="0.3">
      <c r="A34" s="1134" t="str">
        <f>'CBS (Total)'!A33</f>
        <v>1.5.3</v>
      </c>
      <c r="B34" s="482"/>
      <c r="C34" s="482"/>
      <c r="D34" s="990" t="str">
        <f>'CBS (Total)'!D33</f>
        <v>Couplings</v>
      </c>
      <c r="E34" s="482"/>
      <c r="F34" s="482"/>
      <c r="G34" s="482"/>
      <c r="H34" s="482"/>
      <c r="I34" s="1094">
        <f>'CBS (Total)'!I33</f>
        <v>0.01</v>
      </c>
      <c r="J34" s="1135">
        <f>'CBS (Total)'!J33/'CBS ($ per kW)'!J$1</f>
        <v>0.91595425779948936</v>
      </c>
      <c r="K34" s="1086">
        <f t="shared" ref="K34:K41" si="11">J34/$J$53</f>
        <v>1.7594965193040738E-5</v>
      </c>
      <c r="L34" s="1135">
        <f>'CBS (Total)'!L33/'CBS ($ per kW)'!L$1</f>
        <v>0.77245502794264165</v>
      </c>
      <c r="M34" s="1086">
        <f t="shared" si="8"/>
        <v>3.724511254609036E-5</v>
      </c>
      <c r="N34" s="1135">
        <f>'CBS (Total)'!N33/'CBS ($ per kW)'!N$1</f>
        <v>0.6857234754878675</v>
      </c>
      <c r="O34" s="1086">
        <f t="shared" si="9"/>
        <v>4.7374885618374091E-5</v>
      </c>
      <c r="P34" s="1135">
        <f>'CBS (Total)'!P33/'CBS ($ per kW)'!P$1</f>
        <v>0.65143730171347403</v>
      </c>
      <c r="Q34" s="1087">
        <f t="shared" si="10"/>
        <v>4.7206158126711888E-5</v>
      </c>
    </row>
    <row r="35" spans="1:18" s="58" customFormat="1" ht="14.45" outlineLevel="1" x14ac:dyDescent="0.3">
      <c r="A35" s="1134" t="str">
        <f>'CBS (Total)'!A34</f>
        <v>1.5.4</v>
      </c>
      <c r="B35" s="482"/>
      <c r="C35" s="482"/>
      <c r="D35" s="990" t="str">
        <f>'CBS (Total)'!D34</f>
        <v>Frequency Converter</v>
      </c>
      <c r="E35" s="482"/>
      <c r="F35" s="482"/>
      <c r="G35" s="482"/>
      <c r="H35" s="482"/>
      <c r="I35" s="1094">
        <f>'CBS (Total)'!I34</f>
        <v>1.2005444646098002</v>
      </c>
      <c r="J35" s="1135">
        <f>'CBS (Total)'!J34/'CBS ($ per kW)'!J$1</f>
        <v>203.38903075385812</v>
      </c>
      <c r="K35" s="1086">
        <f t="shared" si="11"/>
        <v>3.9069886801528673E-3</v>
      </c>
      <c r="L35" s="1135">
        <f>'CBS (Total)'!L34/'CBS ($ per kW)'!L$1</f>
        <v>96.916881598564942</v>
      </c>
      <c r="M35" s="1086">
        <f t="shared" si="8"/>
        <v>4.6729971741768508E-3</v>
      </c>
      <c r="N35" s="1135">
        <f>'CBS (Total)'!N34/'CBS ($ per kW)'!N$1</f>
        <v>57.727313906603619</v>
      </c>
      <c r="O35" s="1086">
        <f t="shared" si="9"/>
        <v>3.9882328535355942E-3</v>
      </c>
      <c r="P35" s="1135">
        <f>'CBS (Total)'!P34/'CBS ($ per kW)'!P$1</f>
        <v>46.181851125282883</v>
      </c>
      <c r="Q35" s="1087">
        <f t="shared" si="10"/>
        <v>3.3465504064169242E-3</v>
      </c>
    </row>
    <row r="36" spans="1:18" s="58" customFormat="1" ht="14.45" outlineLevel="1" x14ac:dyDescent="0.3">
      <c r="A36" s="1134" t="str">
        <f>'CBS (Total)'!A35</f>
        <v>1.5.5</v>
      </c>
      <c r="B36" s="482"/>
      <c r="C36" s="482"/>
      <c r="D36" s="990" t="str">
        <f>'CBS (Total)'!D35</f>
        <v>Step up Transformer</v>
      </c>
      <c r="E36" s="482"/>
      <c r="F36" s="482"/>
      <c r="G36" s="482"/>
      <c r="H36" s="482"/>
      <c r="I36" s="1094">
        <f>'CBS (Total)'!I35</f>
        <v>1.59</v>
      </c>
      <c r="J36" s="1135">
        <f>'CBS (Total)'!J35/'CBS ($ per kW)'!J$1</f>
        <v>47.185522371488844</v>
      </c>
      <c r="K36" s="1086">
        <f t="shared" si="11"/>
        <v>9.0640729782331074E-4</v>
      </c>
      <c r="L36" s="1135">
        <f>'CBS (Total)'!L35/'CBS ($ per kW)'!L$1</f>
        <v>41.201694561231456</v>
      </c>
      <c r="M36" s="1086">
        <f t="shared" si="8"/>
        <v>1.9866033561977835E-3</v>
      </c>
      <c r="N36" s="1135">
        <f>'CBS (Total)'!N35/'CBS ($ per kW)'!N$1</f>
        <v>37.475734730137539</v>
      </c>
      <c r="O36" s="1086">
        <f t="shared" si="9"/>
        <v>2.5891029106764303E-3</v>
      </c>
      <c r="P36" s="1135">
        <f>'CBS (Total)'!P35/'CBS ($ per kW)'!P$1</f>
        <v>35.976705340932021</v>
      </c>
      <c r="Q36" s="1087">
        <f t="shared" si="10"/>
        <v>2.6070383699782996E-3</v>
      </c>
    </row>
    <row r="37" spans="1:18" s="58" customFormat="1" ht="14.45" outlineLevel="1" x14ac:dyDescent="0.3">
      <c r="A37" s="1134" t="str">
        <f>'CBS (Total)'!A36</f>
        <v>1.5.6</v>
      </c>
      <c r="B37" s="482"/>
      <c r="C37" s="482"/>
      <c r="D37" s="990" t="str">
        <f>'CBS (Total)'!D36</f>
        <v>Control System</v>
      </c>
      <c r="E37" s="482"/>
      <c r="F37" s="482"/>
      <c r="G37" s="482"/>
      <c r="H37" s="482"/>
      <c r="I37" s="1094">
        <f>'CBS (Total)'!I36</f>
        <v>0</v>
      </c>
      <c r="J37" s="1135">
        <f>'CBS (Total)'!J36/'CBS ($ per kW)'!J$1</f>
        <v>13.878094815143777</v>
      </c>
      <c r="K37" s="1086">
        <f t="shared" si="11"/>
        <v>2.6659038171273844E-4</v>
      </c>
      <c r="L37" s="1135">
        <f>'CBS (Total)'!L36/'CBS ($ per kW)'!L$1</f>
        <v>12.97727490397801</v>
      </c>
      <c r="M37" s="1086">
        <f t="shared" si="8"/>
        <v>6.2571935822276141E-4</v>
      </c>
      <c r="N37" s="1135">
        <f>'CBS (Total)'!N36/'CBS ($ per kW)'!N$1</f>
        <v>12.3825783105983</v>
      </c>
      <c r="O37" s="1086">
        <f t="shared" si="9"/>
        <v>8.5548074711572783E-4</v>
      </c>
      <c r="P37" s="1135">
        <f>'CBS (Total)'!P36/'CBS ($ per kW)'!P$1</f>
        <v>12.134926744386332</v>
      </c>
      <c r="Q37" s="1087">
        <f t="shared" si="10"/>
        <v>8.7935288514307962E-4</v>
      </c>
    </row>
    <row r="38" spans="1:18" s="58" customFormat="1" ht="14.45" outlineLevel="1" x14ac:dyDescent="0.3">
      <c r="A38" s="1134" t="str">
        <f>'CBS (Total)'!A37</f>
        <v>1.5.7</v>
      </c>
      <c r="B38" s="482"/>
      <c r="C38" s="482"/>
      <c r="D38" s="990" t="str">
        <f>'CBS (Total)'!D37</f>
        <v>Bearings</v>
      </c>
      <c r="E38" s="482"/>
      <c r="F38" s="482"/>
      <c r="G38" s="482"/>
      <c r="H38" s="482"/>
      <c r="I38" s="1094">
        <f>'CBS (Total)'!I37</f>
        <v>4.3</v>
      </c>
      <c r="J38" s="1135">
        <f>'CBS (Total)'!J37/'CBS ($ per kW)'!J$1</f>
        <v>41.634284445431334</v>
      </c>
      <c r="K38" s="1086">
        <f t="shared" si="11"/>
        <v>7.9977114513821537E-4</v>
      </c>
      <c r="L38" s="1135">
        <f>'CBS (Total)'!L37/'CBS ($ per kW)'!L$1</f>
        <v>36.354436377557171</v>
      </c>
      <c r="M38" s="1086">
        <f t="shared" si="8"/>
        <v>1.7528853142921622E-3</v>
      </c>
      <c r="N38" s="1135">
        <f>'CBS (Total)'!N37/'CBS ($ per kW)'!N$1</f>
        <v>33.06682476188606</v>
      </c>
      <c r="O38" s="1086">
        <f t="shared" si="9"/>
        <v>2.2845025682439088E-3</v>
      </c>
      <c r="P38" s="1135">
        <f>'CBS (Total)'!P37/'CBS ($ per kW)'!P$1</f>
        <v>31.744151771410607</v>
      </c>
      <c r="Q38" s="1087">
        <f t="shared" si="10"/>
        <v>2.3003279735102642E-3</v>
      </c>
    </row>
    <row r="39" spans="1:18" s="58" customFormat="1" ht="14.45" outlineLevel="1" x14ac:dyDescent="0.3">
      <c r="A39" s="1134" t="str">
        <f>'CBS (Total)'!A38</f>
        <v>1.5.8</v>
      </c>
      <c r="B39" s="482"/>
      <c r="C39" s="482"/>
      <c r="D39" s="990" t="str">
        <f>'CBS (Total)'!D38</f>
        <v>Assembly, Testing, &amp; QA</v>
      </c>
      <c r="E39" s="482"/>
      <c r="F39" s="482"/>
      <c r="G39" s="482"/>
      <c r="H39" s="482"/>
      <c r="I39" s="1094">
        <f>'CBS (Total)'!I38</f>
        <v>0</v>
      </c>
      <c r="J39" s="1135">
        <f>'CBS (Total)'!J38/'CBS ($ per kW)'!J$1</f>
        <v>197.0107166065865</v>
      </c>
      <c r="K39" s="1086">
        <f t="shared" si="11"/>
        <v>3.7844648592787349E-3</v>
      </c>
      <c r="L39" s="1135">
        <f>'CBS (Total)'!L38/'CBS ($ per kW)'!L$1</f>
        <v>172.02682015487426</v>
      </c>
      <c r="M39" s="1086">
        <f t="shared" si="8"/>
        <v>8.2945388997974108E-3</v>
      </c>
      <c r="N39" s="1135">
        <f>'CBS (Total)'!N38/'CBS ($ per kW)'!N$1</f>
        <v>156.47005656556806</v>
      </c>
      <c r="O39" s="1086">
        <f t="shared" si="9"/>
        <v>1.0810117047867445E-2</v>
      </c>
      <c r="P39" s="1135">
        <f>'CBS (Total)'!P38/'CBS ($ per kW)'!P$1</f>
        <v>150.21125430294529</v>
      </c>
      <c r="Q39" s="1087">
        <f t="shared" si="10"/>
        <v>1.0885001832694257E-2</v>
      </c>
    </row>
    <row r="40" spans="1:18" s="58" customFormat="1" ht="14.45" outlineLevel="1" x14ac:dyDescent="0.3">
      <c r="A40" s="1134" t="str">
        <f>'CBS (Total)'!A39</f>
        <v>1.5.9</v>
      </c>
      <c r="B40" s="482"/>
      <c r="C40" s="482"/>
      <c r="D40" s="990" t="str">
        <f>'CBS (Total)'!D39</f>
        <v>PTO Mount</v>
      </c>
      <c r="E40" s="482"/>
      <c r="F40" s="482"/>
      <c r="G40" s="482"/>
      <c r="H40" s="482"/>
      <c r="I40" s="1094">
        <f>'CBS (Total)'!I39</f>
        <v>10.5</v>
      </c>
      <c r="J40" s="1135">
        <f>'CBS (Total)'!J39/'CBS ($ per kW)'!J$1</f>
        <v>262.29599200621743</v>
      </c>
      <c r="K40" s="1086">
        <f t="shared" si="11"/>
        <v>5.0385582143707575E-3</v>
      </c>
      <c r="L40" s="1135">
        <f>'CBS (Total)'!L39/'CBS ($ per kW)'!L$1</f>
        <v>184.83685100176726</v>
      </c>
      <c r="M40" s="1086">
        <f t="shared" si="8"/>
        <v>8.9121943274307284E-3</v>
      </c>
      <c r="N40" s="1135">
        <f>'CBS (Total)'!N39/'CBS ($ per kW)'!N$1</f>
        <v>144.7248000115994</v>
      </c>
      <c r="O40" s="1086">
        <f t="shared" si="9"/>
        <v>9.9986672350885503E-3</v>
      </c>
      <c r="P40" s="1135">
        <f>'CBS (Total)'!P39/'CBS ($ per kW)'!P$1</f>
        <v>130.25232001043943</v>
      </c>
      <c r="Q40" s="1087">
        <f t="shared" si="10"/>
        <v>9.4386851944322815E-3</v>
      </c>
      <c r="R40" s="132"/>
    </row>
    <row r="41" spans="1:18" s="882" customFormat="1" ht="14.45" outlineLevel="1" x14ac:dyDescent="0.3">
      <c r="A41" s="1134" t="str">
        <f>'CBS (Total)'!A40</f>
        <v>1.5.10</v>
      </c>
      <c r="B41" s="482"/>
      <c r="C41" s="482"/>
      <c r="D41" s="990" t="str">
        <f>'CBS (Total)'!D40</f>
        <v>Other</v>
      </c>
      <c r="E41" s="482"/>
      <c r="F41" s="482"/>
      <c r="G41" s="482"/>
      <c r="H41" s="482"/>
      <c r="I41" s="1094">
        <f>'CBS (Total)'!I40</f>
        <v>0</v>
      </c>
      <c r="J41" s="1135">
        <f>'CBS (Total)'!J40/'CBS ($ per kW)'!J$1</f>
        <v>48.573331853003225</v>
      </c>
      <c r="K41" s="1086">
        <f t="shared" si="11"/>
        <v>9.3306633599458467E-4</v>
      </c>
      <c r="L41" s="1135">
        <f>'CBS (Total)'!L40/'CBS ($ per kW)'!L$1</f>
        <v>23.145672284275921</v>
      </c>
      <c r="M41" s="1086">
        <f t="shared" si="8"/>
        <v>1.1160043471770801E-3</v>
      </c>
      <c r="N41" s="1135">
        <f>'CBS (Total)'!N40/'CBS ($ per kW)'!N$1</f>
        <v>13.786426755538072</v>
      </c>
      <c r="O41" s="1086">
        <f t="shared" si="9"/>
        <v>9.5246905491317725E-4</v>
      </c>
      <c r="P41" s="1135">
        <f>'CBS (Total)'!P40/'CBS ($ per kW)'!P$1</f>
        <v>11.029141404430455</v>
      </c>
      <c r="Q41" s="1087">
        <f t="shared" si="10"/>
        <v>7.9922256795851587E-4</v>
      </c>
      <c r="R41" s="132"/>
    </row>
    <row r="42" spans="1:18" s="58" customFormat="1" ht="14.45" outlineLevel="1" x14ac:dyDescent="0.3">
      <c r="A42" s="1111">
        <f>'CBS (Total)'!A41</f>
        <v>1.6</v>
      </c>
      <c r="B42" s="1112"/>
      <c r="C42" s="1112" t="str">
        <f>'CBS (Total)'!C41</f>
        <v>Subsystem Integration &amp; Profit Margin</v>
      </c>
      <c r="D42" s="1112"/>
      <c r="E42" s="1118"/>
      <c r="F42" s="1118"/>
      <c r="G42" s="1118"/>
      <c r="H42" s="1118"/>
      <c r="I42" s="1140"/>
      <c r="J42" s="1117">
        <f>'CBS (Total)'!J41/'CBS ($ per kW)'!J$1</f>
        <v>1222.7127289466907</v>
      </c>
      <c r="K42" s="1114">
        <f t="shared" ref="K42:K51" si="12">J42/$J$53</f>
        <v>2.3487622579089967E-2</v>
      </c>
      <c r="L42" s="1117">
        <f>'CBS (Total)'!L41/'CBS ($ per kW)'!L$1</f>
        <v>876.0272313659683</v>
      </c>
      <c r="M42" s="1114">
        <f t="shared" ref="M42:M51" si="13">L42/$L$53</f>
        <v>4.2239006343924253E-2</v>
      </c>
      <c r="N42" s="1117">
        <f>'CBS (Total)'!N41/'CBS ($ per kW)'!N$1</f>
        <v>774.98228654086108</v>
      </c>
      <c r="O42" s="1114">
        <f t="shared" ref="O42:O51" si="14">N42/$N$53</f>
        <v>5.3541549171870088E-2</v>
      </c>
      <c r="P42" s="1117">
        <f>'CBS (Total)'!P41/'CBS ($ per kW)'!P$1</f>
        <v>750.38696132609459</v>
      </c>
      <c r="Q42" s="1115">
        <f t="shared" ref="Q42:Q51" si="15">P42/$P$53</f>
        <v>5.4376507853341714E-2</v>
      </c>
    </row>
    <row r="43" spans="1:18" s="57" customFormat="1" ht="14.45" x14ac:dyDescent="0.3">
      <c r="A43" s="1111">
        <f>'CBS (Total)'!A42</f>
        <v>1.7</v>
      </c>
      <c r="B43" s="1112"/>
      <c r="C43" s="1112" t="str">
        <f>'CBS (Total)'!C42</f>
        <v>Installation</v>
      </c>
      <c r="D43" s="1112"/>
      <c r="E43" s="1112"/>
      <c r="F43" s="1112"/>
      <c r="G43" s="1112"/>
      <c r="H43" s="1112"/>
      <c r="I43" s="1112"/>
      <c r="J43" s="1117">
        <f>'CBS (Total)'!J42/'CBS ($ per kW)'!J$1</f>
        <v>16399.806622626846</v>
      </c>
      <c r="K43" s="1114">
        <f t="shared" si="12"/>
        <v>0.31503104466258774</v>
      </c>
      <c r="L43" s="1117">
        <f>'CBS (Total)'!L42/'CBS ($ per kW)'!L$1</f>
        <v>2520.8096912278106</v>
      </c>
      <c r="M43" s="1114">
        <f t="shared" si="13"/>
        <v>0.12154473368775419</v>
      </c>
      <c r="N43" s="1117">
        <f>'CBS (Total)'!N42/'CBS ($ per kW)'!N$1</f>
        <v>1195.2495491161196</v>
      </c>
      <c r="O43" s="1114">
        <f t="shared" si="14"/>
        <v>8.2576742227620056E-2</v>
      </c>
      <c r="P43" s="1117">
        <f>'CBS (Total)'!P42/'CBS ($ per kW)'!P$1</f>
        <v>1050.8379775606627</v>
      </c>
      <c r="Q43" s="1115">
        <f t="shared" si="15"/>
        <v>7.6148577313279647E-2</v>
      </c>
    </row>
    <row r="44" spans="1:18" s="57" customFormat="1" ht="14.45" x14ac:dyDescent="0.3">
      <c r="A44" s="1134" t="str">
        <f>'CBS (Total)'!A43</f>
        <v>1.7.1</v>
      </c>
      <c r="B44" s="886"/>
      <c r="C44" s="886"/>
      <c r="D44" s="990" t="str">
        <f>'CBS (Total)'!D43</f>
        <v>Transport to Staging Site</v>
      </c>
      <c r="E44" s="886"/>
      <c r="F44" s="886"/>
      <c r="G44" s="886"/>
      <c r="H44" s="886"/>
      <c r="I44" s="956"/>
      <c r="J44" s="1135">
        <f>'CBS (Total)'!J43/'CBS ($ per kW)'!J$1</f>
        <v>82.574664150105477</v>
      </c>
      <c r="K44" s="1086">
        <f t="shared" si="12"/>
        <v>1.5862127711907938E-3</v>
      </c>
      <c r="L44" s="1135">
        <f>'CBS (Total)'!L43/'CBS ($ per kW)'!L$1</f>
        <v>82.574664150105477</v>
      </c>
      <c r="M44" s="1086">
        <f t="shared" si="13"/>
        <v>3.9814650024579314E-3</v>
      </c>
      <c r="N44" s="1135">
        <f>'CBS (Total)'!N43/'CBS ($ per kW)'!N$1</f>
        <v>82.574664150105477</v>
      </c>
      <c r="O44" s="1086">
        <f t="shared" si="14"/>
        <v>5.7048728954534923E-3</v>
      </c>
      <c r="P44" s="1135">
        <f>'CBS (Total)'!P43/'CBS ($ per kW)'!P$1</f>
        <v>82.574664150105477</v>
      </c>
      <c r="Q44" s="1087">
        <f t="shared" si="15"/>
        <v>5.9837418626121344E-3</v>
      </c>
    </row>
    <row r="45" spans="1:18" s="58" customFormat="1" ht="14.45" outlineLevel="1" x14ac:dyDescent="0.3">
      <c r="A45" s="1134" t="str">
        <f>'CBS (Total)'!A44</f>
        <v>1.7.2</v>
      </c>
      <c r="B45" s="482"/>
      <c r="C45" s="482"/>
      <c r="D45" s="990" t="str">
        <f>'CBS (Total)'!D44</f>
        <v>Cable Shore Landing</v>
      </c>
      <c r="E45" s="482"/>
      <c r="F45" s="482"/>
      <c r="G45" s="482"/>
      <c r="H45" s="482"/>
      <c r="I45" s="402"/>
      <c r="J45" s="1135">
        <f>'CBS (Total)'!J44/'CBS ($ per kW)'!J$1</f>
        <v>1851.33784834018</v>
      </c>
      <c r="K45" s="1086">
        <f t="shared" si="12"/>
        <v>3.5563156920479309E-2</v>
      </c>
      <c r="L45" s="1135">
        <f>'CBS (Total)'!L44/'CBS ($ per kW)'!L$1</f>
        <v>212.94548684356613</v>
      </c>
      <c r="M45" s="1086">
        <f t="shared" si="13"/>
        <v>1.0267495629867984E-2</v>
      </c>
      <c r="N45" s="1135">
        <f>'CBS (Total)'!N44/'CBS ($ per kW)'!N$1</f>
        <v>42.589097368713226</v>
      </c>
      <c r="O45" s="1086">
        <f t="shared" si="14"/>
        <v>2.942372091019778E-3</v>
      </c>
      <c r="P45" s="1135">
        <f>'CBS (Total)'!P44/'CBS ($ per kW)'!P$1</f>
        <v>42.577994892861106</v>
      </c>
      <c r="Q45" s="1087">
        <f t="shared" si="15"/>
        <v>3.0853983251250467E-3</v>
      </c>
    </row>
    <row r="46" spans="1:18" s="58" customFormat="1" ht="14.45" outlineLevel="1" x14ac:dyDescent="0.3">
      <c r="A46" s="1134" t="str">
        <f>'CBS (Total)'!A45</f>
        <v>1.7.3</v>
      </c>
      <c r="B46" s="482"/>
      <c r="C46" s="482"/>
      <c r="D46" s="990" t="str">
        <f>'CBS (Total)'!D45</f>
        <v>Mooring/Foundation System</v>
      </c>
      <c r="E46" s="482"/>
      <c r="F46" s="482"/>
      <c r="G46" s="482"/>
      <c r="H46" s="482"/>
      <c r="I46" s="402"/>
      <c r="J46" s="1135">
        <f>'CBS (Total)'!J45/'CBS ($ per kW)'!J$1</f>
        <v>8864.8649661374493</v>
      </c>
      <c r="K46" s="1086">
        <f t="shared" si="12"/>
        <v>0.17028906104429012</v>
      </c>
      <c r="L46" s="1135">
        <f>'CBS (Total)'!L45/'CBS ($ per kW)'!L$1</f>
        <v>1083.7566769056166</v>
      </c>
      <c r="M46" s="1086">
        <f t="shared" si="13"/>
        <v>5.2255002484007183E-2</v>
      </c>
      <c r="N46" s="1135">
        <f>'CBS (Total)'!N45/'CBS ($ per kW)'!N$1</f>
        <v>392.13726977782716</v>
      </c>
      <c r="O46" s="1086">
        <f t="shared" si="14"/>
        <v>2.7091763613909928E-2</v>
      </c>
      <c r="P46" s="1135">
        <f>'CBS (Total)'!P45/'CBS ($ per kW)'!P$1</f>
        <v>305.68484388685346</v>
      </c>
      <c r="Q46" s="1087">
        <f t="shared" si="15"/>
        <v>2.215133680479503E-2</v>
      </c>
    </row>
    <row r="47" spans="1:18" s="58" customFormat="1" ht="14.45" outlineLevel="1" x14ac:dyDescent="0.3">
      <c r="A47" s="1134" t="str">
        <f>'CBS (Total)'!A46</f>
        <v>1.7.4</v>
      </c>
      <c r="B47" s="482"/>
      <c r="C47" s="482"/>
      <c r="D47" s="990" t="str">
        <f>'CBS (Total)'!D46</f>
        <v>Cable Installation</v>
      </c>
      <c r="E47" s="482"/>
      <c r="F47" s="482"/>
      <c r="G47" s="482"/>
      <c r="H47" s="482"/>
      <c r="I47" s="402"/>
      <c r="J47" s="1135">
        <f>'CBS (Total)'!J46/'CBS ($ per kW)'!J$1</f>
        <v>4184.3393471744203</v>
      </c>
      <c r="K47" s="1086">
        <f t="shared" si="12"/>
        <v>8.0378801171009498E-2</v>
      </c>
      <c r="L47" s="1135">
        <f>'CBS (Total)'!L46/'CBS ($ per kW)'!L$1</f>
        <v>632.88681025868777</v>
      </c>
      <c r="M47" s="1086">
        <f t="shared" si="13"/>
        <v>3.0515615310062149E-2</v>
      </c>
      <c r="N47" s="1135">
        <f>'CBS (Total)'!N46/'CBS ($ per kW)'!N$1</f>
        <v>250.01746419451536</v>
      </c>
      <c r="O47" s="1086">
        <f t="shared" si="14"/>
        <v>1.7273068798445521E-2</v>
      </c>
      <c r="P47" s="1135">
        <f>'CBS (Total)'!P46/'CBS ($ per kW)'!P$1</f>
        <v>202.15879593649382</v>
      </c>
      <c r="Q47" s="1087">
        <f t="shared" si="15"/>
        <v>1.4649360825028761E-2</v>
      </c>
    </row>
    <row r="48" spans="1:18" s="58" customFormat="1" ht="14.45" outlineLevel="1" x14ac:dyDescent="0.3">
      <c r="A48" s="1134" t="str">
        <f>'CBS (Total)'!A47</f>
        <v>1.7.5</v>
      </c>
      <c r="B48" s="482"/>
      <c r="C48" s="482"/>
      <c r="D48" s="990" t="str">
        <f>'CBS (Total)'!D47</f>
        <v>Device Installation</v>
      </c>
      <c r="E48" s="482"/>
      <c r="F48" s="482"/>
      <c r="G48" s="482"/>
      <c r="H48" s="482"/>
      <c r="I48" s="402"/>
      <c r="J48" s="1135">
        <f>'CBS (Total)'!J47/'CBS ($ per kW)'!J$1</f>
        <v>708.34489841234597</v>
      </c>
      <c r="K48" s="1086">
        <f t="shared" si="12"/>
        <v>1.3606906377809027E-2</v>
      </c>
      <c r="L48" s="1135">
        <f>'CBS (Total)'!L47/'CBS ($ per kW)'!L$1</f>
        <v>254.32302653491732</v>
      </c>
      <c r="M48" s="1086">
        <f t="shared" si="13"/>
        <v>1.2262577630679467E-2</v>
      </c>
      <c r="N48" s="1135">
        <f>'CBS (Total)'!N47/'CBS ($ per kW)'!N$1</f>
        <v>213.96552681247917</v>
      </c>
      <c r="O48" s="1086">
        <f t="shared" si="14"/>
        <v>1.4782332414395666E-2</v>
      </c>
      <c r="P48" s="1135">
        <f>'CBS (Total)'!P47/'CBS ($ per kW)'!P$1</f>
        <v>208.92083934717442</v>
      </c>
      <c r="Q48" s="1087">
        <f t="shared" si="15"/>
        <v>1.513936974785934E-2</v>
      </c>
    </row>
    <row r="49" spans="1:19" s="58" customFormat="1" ht="14.45" outlineLevel="1" x14ac:dyDescent="0.3">
      <c r="A49" s="1134" t="str">
        <f>'CBS (Total)'!A48</f>
        <v>1.7.6</v>
      </c>
      <c r="B49" s="482"/>
      <c r="C49" s="482"/>
      <c r="D49" s="990" t="str">
        <f>'CBS (Total)'!D48</f>
        <v>Device Commissioning</v>
      </c>
      <c r="E49" s="482"/>
      <c r="F49" s="482"/>
      <c r="G49" s="482"/>
      <c r="H49" s="482"/>
      <c r="I49" s="402"/>
      <c r="J49" s="1135">
        <f>'CBS (Total)'!J48/'CBS ($ per kW)'!J$1</f>
        <v>708.34489841234597</v>
      </c>
      <c r="K49" s="1086">
        <f t="shared" si="12"/>
        <v>1.3606906377809027E-2</v>
      </c>
      <c r="L49" s="1135">
        <f>'CBS (Total)'!L48/'CBS ($ per kW)'!L$1</f>
        <v>254.32302653491732</v>
      </c>
      <c r="M49" s="1086">
        <f t="shared" si="13"/>
        <v>1.2262577630679467E-2</v>
      </c>
      <c r="N49" s="1135">
        <f>'CBS (Total)'!N48/'CBS ($ per kW)'!N$1</f>
        <v>213.96552681247917</v>
      </c>
      <c r="O49" s="1086">
        <f t="shared" si="14"/>
        <v>1.4782332414395666E-2</v>
      </c>
      <c r="P49" s="1135">
        <f>'CBS (Total)'!P48/'CBS ($ per kW)'!P$1</f>
        <v>208.92083934717442</v>
      </c>
      <c r="Q49" s="1087">
        <f t="shared" si="15"/>
        <v>1.513936974785934E-2</v>
      </c>
    </row>
    <row r="50" spans="1:19" s="58" customFormat="1" ht="14.45" outlineLevel="1" x14ac:dyDescent="0.3">
      <c r="A50" s="1111">
        <f>'CBS (Total)'!A49</f>
        <v>1.8</v>
      </c>
      <c r="B50" s="1118"/>
      <c r="C50" s="1112" t="str">
        <f>'CBS (Total)'!C49</f>
        <v>Decommissioning</v>
      </c>
      <c r="D50" s="1141"/>
      <c r="E50" s="1118"/>
      <c r="F50" s="1118"/>
      <c r="G50" s="1118"/>
      <c r="H50" s="1118"/>
      <c r="I50" s="1118"/>
      <c r="J50" s="1117">
        <f>'CBS (Total)'!J49/'CBS ($ per kW)'!J$1</f>
        <v>16399.806622626846</v>
      </c>
      <c r="K50" s="1114">
        <f t="shared" si="12"/>
        <v>0.31503104466258774</v>
      </c>
      <c r="L50" s="1117">
        <f>'CBS (Total)'!L49/'CBS ($ per kW)'!L$1</f>
        <v>2520.8096912278106</v>
      </c>
      <c r="M50" s="1114">
        <f t="shared" si="13"/>
        <v>0.12154473368775419</v>
      </c>
      <c r="N50" s="1117">
        <f>'CBS (Total)'!N49/'CBS ($ per kW)'!N$1</f>
        <v>1195.2495491161196</v>
      </c>
      <c r="O50" s="1114">
        <f t="shared" si="14"/>
        <v>8.2576742227620056E-2</v>
      </c>
      <c r="P50" s="1117">
        <f>'CBS (Total)'!P49/'CBS ($ per kW)'!P$1</f>
        <v>1050.8379775606627</v>
      </c>
      <c r="Q50" s="1115">
        <f t="shared" si="15"/>
        <v>7.6148577313279647E-2</v>
      </c>
    </row>
    <row r="51" spans="1:19" s="78" customFormat="1" ht="14.45" x14ac:dyDescent="0.3">
      <c r="A51" s="1142">
        <f>'CBS (Total)'!A50</f>
        <v>1.9</v>
      </c>
      <c r="B51" s="1119"/>
      <c r="C51" s="1119" t="str">
        <f>'CBS (Total)'!C50</f>
        <v>Contingency</v>
      </c>
      <c r="D51" s="1143"/>
      <c r="E51" s="1119"/>
      <c r="F51" s="1119"/>
      <c r="G51" s="1119"/>
      <c r="H51" s="1119"/>
      <c r="I51" s="1119"/>
      <c r="J51" s="1144">
        <f>'CBS (Total)'!J50/'CBS ($ per kW)'!J$1</f>
        <v>4732.5225129628298</v>
      </c>
      <c r="K51" s="1145">
        <f t="shared" si="12"/>
        <v>9.0909090909090912E-2</v>
      </c>
      <c r="L51" s="1144">
        <f>'CBS (Total)'!L50/'CBS ($ per kW)'!L$1</f>
        <v>1885.4335390051956</v>
      </c>
      <c r="M51" s="1145">
        <f t="shared" si="13"/>
        <v>9.0909090909090898E-2</v>
      </c>
      <c r="N51" s="1144">
        <f>'CBS (Total)'!N50/'CBS ($ per kW)'!N$1</f>
        <v>1315.855372692376</v>
      </c>
      <c r="O51" s="1145">
        <f t="shared" si="14"/>
        <v>9.0909090909090925E-2</v>
      </c>
      <c r="P51" s="1144">
        <f>'CBS (Total)'!P50/'CBS ($ per kW)'!P$1</f>
        <v>1254.5306636494151</v>
      </c>
      <c r="Q51" s="1146">
        <f t="shared" si="15"/>
        <v>9.0909090909090912E-2</v>
      </c>
      <c r="R51" s="612"/>
    </row>
    <row r="52" spans="1:19" s="78" customFormat="1" ht="14.45" x14ac:dyDescent="0.3">
      <c r="A52" s="88"/>
      <c r="D52" s="745"/>
      <c r="J52" s="614"/>
      <c r="K52" s="83"/>
      <c r="L52" s="614"/>
      <c r="M52" s="83"/>
      <c r="N52" s="614"/>
      <c r="O52" s="83"/>
      <c r="P52" s="614"/>
      <c r="Q52" s="86"/>
    </row>
    <row r="53" spans="1:19" ht="14.45" outlineLevel="1" x14ac:dyDescent="0.3">
      <c r="A53" s="1111" t="s">
        <v>456</v>
      </c>
      <c r="B53" s="1112"/>
      <c r="C53" s="1112"/>
      <c r="D53" s="1141"/>
      <c r="E53" s="1112"/>
      <c r="F53" s="1112"/>
      <c r="G53" s="1112"/>
      <c r="H53" s="1112"/>
      <c r="I53" s="1116">
        <f>I31+I24</f>
        <v>836.16486569872961</v>
      </c>
      <c r="J53" s="1117">
        <f>'CBS (Total)'!J52/'CBS ($ per kW)'!J$1</f>
        <v>52057.747642591123</v>
      </c>
      <c r="K53" s="1114">
        <f>J53/$J$53</f>
        <v>1</v>
      </c>
      <c r="L53" s="1117">
        <f>'CBS (Total)'!L52/'CBS ($ per kW)'!L$1</f>
        <v>20739.768929057154</v>
      </c>
      <c r="M53" s="1114">
        <f t="shared" ref="M53" si="16">L53/$L$53</f>
        <v>1</v>
      </c>
      <c r="N53" s="1117">
        <f>'CBS (Total)'!N52/'CBS ($ per kW)'!N$1</f>
        <v>14474.409099616134</v>
      </c>
      <c r="O53" s="1114">
        <f t="shared" ref="O53" si="17">N53/$N$53</f>
        <v>1</v>
      </c>
      <c r="P53" s="1117">
        <f>'CBS (Total)'!P52/'CBS ($ per kW)'!P$1</f>
        <v>13799.837300143567</v>
      </c>
      <c r="Q53" s="1115">
        <f t="shared" ref="Q53" si="18">P53/$P$53</f>
        <v>1</v>
      </c>
    </row>
    <row r="54" spans="1:19" ht="14.45" outlineLevel="1" x14ac:dyDescent="0.3">
      <c r="I54" s="59"/>
      <c r="J54" s="131"/>
      <c r="K54" s="82"/>
      <c r="L54" s="131"/>
      <c r="M54" s="82"/>
      <c r="N54" s="131"/>
      <c r="O54" s="82"/>
      <c r="P54" s="130"/>
      <c r="Q54" s="59"/>
    </row>
    <row r="55" spans="1:19" s="57" customFormat="1" ht="14.45" x14ac:dyDescent="0.3">
      <c r="A55" s="1111">
        <v>2</v>
      </c>
      <c r="B55" s="1112" t="str">
        <f>'CBS (Total)'!B54</f>
        <v>Annualized OPEX</v>
      </c>
      <c r="C55" s="1112"/>
      <c r="D55" s="1112"/>
      <c r="E55" s="1112"/>
      <c r="F55" s="1112"/>
      <c r="G55" s="1112"/>
      <c r="H55" s="1112"/>
      <c r="I55" s="1112"/>
      <c r="J55" s="1117">
        <f>'CBS (Total)'!J54/'CBS ($ per kW)'!J$1</f>
        <v>3169.2318237796499</v>
      </c>
      <c r="K55" s="1122">
        <f t="shared" ref="K55:K61" si="19">J55/$J$53</f>
        <v>6.0879157614317107E-2</v>
      </c>
      <c r="L55" s="1117">
        <f>'CBS (Total)'!L54/'CBS ($ per kW)'!L$1</f>
        <v>1282.5413364531721</v>
      </c>
      <c r="M55" s="1122">
        <f t="shared" ref="M55:M61" si="20">L55/$L$53</f>
        <v>6.1839711948588109E-2</v>
      </c>
      <c r="N55" s="1117">
        <f>'CBS (Total)'!N54/'CBS ($ per kW)'!N$1</f>
        <v>324.44872146416992</v>
      </c>
      <c r="O55" s="1122">
        <f t="shared" ref="O55:O61" si="21">N55/$N$53</f>
        <v>2.2415334486626776E-2</v>
      </c>
      <c r="P55" s="1113">
        <f>'CBS (Total)'!P54/'CBS ($ per kW)'!P$1</f>
        <v>202.42190169033839</v>
      </c>
      <c r="Q55" s="1115">
        <f t="shared" ref="Q55:Q61" si="22">P55/$P$53</f>
        <v>1.466842668414884E-2</v>
      </c>
    </row>
    <row r="56" spans="1:19" ht="14.45" outlineLevel="1" x14ac:dyDescent="0.3">
      <c r="A56" s="1148">
        <v>2.1</v>
      </c>
      <c r="B56" s="893"/>
      <c r="C56" s="893" t="str">
        <f>'CBS (Total)'!C55</f>
        <v>Insurance</v>
      </c>
      <c r="D56" s="893"/>
      <c r="E56" s="893"/>
      <c r="F56" s="893"/>
      <c r="G56" s="893"/>
      <c r="H56" s="893"/>
      <c r="I56" s="1149"/>
      <c r="J56" s="1131">
        <f>'CBS (Total)'!J55/'CBS ($ per kW)'!J$1</f>
        <v>727.48687315698805</v>
      </c>
      <c r="K56" s="1150">
        <f t="shared" si="19"/>
        <v>1.3974612927006346E-2</v>
      </c>
      <c r="L56" s="1131">
        <f>'CBS (Total)'!L55/'CBS ($ per kW)'!L$1</f>
        <v>331.6189711846514</v>
      </c>
      <c r="M56" s="1150">
        <f t="shared" si="20"/>
        <v>1.5989521017278133E-2</v>
      </c>
      <c r="N56" s="1131">
        <f>'CBS (Total)'!N55/'CBS ($ per kW)'!N$1</f>
        <v>125.94503213218174</v>
      </c>
      <c r="O56" s="1150">
        <f t="shared" si="21"/>
        <v>8.7012209801035564E-3</v>
      </c>
      <c r="P56" s="1151">
        <f>'CBS (Total)'!P55/'CBS ($ per kW)'!P$1</f>
        <v>61.227863538205497</v>
      </c>
      <c r="Q56" s="1152">
        <f t="shared" si="22"/>
        <v>4.436854015486727E-3</v>
      </c>
    </row>
    <row r="57" spans="1:19" ht="14.45" outlineLevel="1" x14ac:dyDescent="0.3">
      <c r="A57" s="1153">
        <v>2.2000000000000002</v>
      </c>
      <c r="B57" s="990"/>
      <c r="C57" s="990" t="str">
        <f>'CBS (Total)'!C56</f>
        <v>Environmental Monitoring and Regulatory Compliance</v>
      </c>
      <c r="D57" s="990"/>
      <c r="E57" s="990"/>
      <c r="F57" s="990"/>
      <c r="G57" s="990"/>
      <c r="H57" s="990"/>
      <c r="I57" s="977"/>
      <c r="J57" s="1135">
        <f>'CBS (Total)'!J56/'CBS ($ per kW)'!J$1</f>
        <v>1290.6628178083713</v>
      </c>
      <c r="K57" s="831">
        <f t="shared" si="19"/>
        <v>2.4792905499284677E-2</v>
      </c>
      <c r="L57" s="1135">
        <f>'CBS (Total)'!L56/'CBS ($ per kW)'!L$1</f>
        <v>578.71655379149558</v>
      </c>
      <c r="M57" s="831">
        <f t="shared" si="20"/>
        <v>2.7903712706301809E-2</v>
      </c>
      <c r="N57" s="1135">
        <f>'CBS (Total)'!N56/'CBS ($ per kW)'!N$1</f>
        <v>99.089596980126572</v>
      </c>
      <c r="O57" s="831">
        <f t="shared" si="21"/>
        <v>6.8458474745441917E-3</v>
      </c>
      <c r="P57" s="597">
        <f>'CBS (Total)'!P56/'CBS ($ per kW)'!P$1</f>
        <v>49.544798490063286</v>
      </c>
      <c r="Q57" s="1088">
        <f t="shared" si="22"/>
        <v>3.5902451175672807E-3</v>
      </c>
      <c r="R57" s="3"/>
      <c r="S57" s="3"/>
    </row>
    <row r="58" spans="1:19" ht="14.45" outlineLevel="1" x14ac:dyDescent="0.3">
      <c r="A58" s="1153">
        <v>2.2999999999999998</v>
      </c>
      <c r="B58" s="990"/>
      <c r="C58" s="990" t="str">
        <f>'CBS (Total)'!C57</f>
        <v>Marine Operations</v>
      </c>
      <c r="D58" s="990"/>
      <c r="E58" s="990"/>
      <c r="F58" s="990"/>
      <c r="G58" s="990"/>
      <c r="H58" s="990"/>
      <c r="I58" s="977"/>
      <c r="J58" s="1135">
        <f>'CBS (Total)'!J57/'CBS ($ per kW)'!J$1</f>
        <v>210.35028311313425</v>
      </c>
      <c r="K58" s="831">
        <f t="shared" si="19"/>
        <v>4.0407104156199771E-3</v>
      </c>
      <c r="L58" s="1135">
        <f>'CBS (Total)'!L57/'CBS ($ per kW)'!L$1</f>
        <v>210.35028311313425</v>
      </c>
      <c r="M58" s="831">
        <f t="shared" si="20"/>
        <v>1.0142363872647877E-2</v>
      </c>
      <c r="N58" s="1135">
        <f>'CBS (Total)'!N57/'CBS ($ per kW)'!N$1</f>
        <v>34.289996669257242</v>
      </c>
      <c r="O58" s="831">
        <f t="shared" si="21"/>
        <v>2.3690083949725192E-3</v>
      </c>
      <c r="P58" s="603">
        <f>'CBS (Total)'!P57/'CBS ($ per kW)'!P$1</f>
        <v>34.289996669257242</v>
      </c>
      <c r="Q58" s="1088">
        <f t="shared" si="22"/>
        <v>2.4848116628810187E-3</v>
      </c>
      <c r="R58" s="63"/>
      <c r="S58" s="63"/>
    </row>
    <row r="59" spans="1:19" ht="14.45" outlineLevel="1" x14ac:dyDescent="0.3">
      <c r="A59" s="1153">
        <v>2.4</v>
      </c>
      <c r="B59" s="990"/>
      <c r="C59" s="990" t="str">
        <f>'CBS (Total)'!C58</f>
        <v>Shoreside Operations</v>
      </c>
      <c r="D59" s="990"/>
      <c r="E59" s="990"/>
      <c r="F59" s="990"/>
      <c r="G59" s="990"/>
      <c r="H59" s="990"/>
      <c r="I59" s="977"/>
      <c r="J59" s="1135">
        <f>'CBS (Total)'!J58/'CBS ($ per kW)'!J$1</f>
        <v>725.9936715887643</v>
      </c>
      <c r="K59" s="831">
        <f t="shared" si="19"/>
        <v>1.3945929366233116E-2</v>
      </c>
      <c r="L59" s="1135">
        <f>'CBS (Total)'!L58/'CBS ($ per kW)'!L$1</f>
        <v>111.00699455978685</v>
      </c>
      <c r="M59" s="831">
        <f t="shared" si="20"/>
        <v>5.3523737385647576E-3</v>
      </c>
      <c r="N59" s="1135">
        <f>'CBS (Total)'!N58/'CBS ($ per kW)'!N$1</f>
        <v>25.241034750749417</v>
      </c>
      <c r="O59" s="831">
        <f t="shared" si="21"/>
        <v>1.7438387002215391E-3</v>
      </c>
      <c r="P59" s="603">
        <f>'CBS (Total)'!P58/'CBS ($ per kW)'!P$1</f>
        <v>18.725269235039413</v>
      </c>
      <c r="Q59" s="1088">
        <f t="shared" si="22"/>
        <v>1.3569195656273863E-3</v>
      </c>
    </row>
    <row r="60" spans="1:19" ht="14.45" outlineLevel="1" x14ac:dyDescent="0.3">
      <c r="A60" s="1154">
        <v>2.5</v>
      </c>
      <c r="B60" s="990"/>
      <c r="C60" s="990" t="str">
        <f>'CBS (Total)'!C59</f>
        <v>Replacement Parts</v>
      </c>
      <c r="D60" s="990"/>
      <c r="E60" s="990"/>
      <c r="F60" s="990"/>
      <c r="G60" s="990"/>
      <c r="H60" s="990"/>
      <c r="I60" s="977"/>
      <c r="J60" s="1135">
        <f>'CBS (Total)'!J59/'CBS ($ per kW)'!J$1</f>
        <v>177.26732211150372</v>
      </c>
      <c r="K60" s="831">
        <f t="shared" si="19"/>
        <v>3.4052053755485993E-3</v>
      </c>
      <c r="L60" s="1135">
        <f>'CBS (Total)'!L59/'CBS ($ per kW)'!L$1</f>
        <v>13.377677803215823</v>
      </c>
      <c r="M60" s="831">
        <f t="shared" si="20"/>
        <v>6.4502540259613115E-4</v>
      </c>
      <c r="N60" s="1135">
        <f>'CBS (Total)'!N59/'CBS ($ per kW)'!N$1</f>
        <v>2.4122049309667566</v>
      </c>
      <c r="O60" s="831">
        <f t="shared" si="21"/>
        <v>1.6665308506657651E-4</v>
      </c>
      <c r="P60" s="603">
        <f>'CBS (Total)'!P59/'CBS ($ per kW)'!P$1</f>
        <v>1.1631177568847488</v>
      </c>
      <c r="Q60" s="1088">
        <f t="shared" si="22"/>
        <v>8.4284889132181897E-5</v>
      </c>
    </row>
    <row r="61" spans="1:19" ht="14.45" outlineLevel="1" x14ac:dyDescent="0.3">
      <c r="A61" s="1155">
        <v>2.6</v>
      </c>
      <c r="B61" s="885"/>
      <c r="C61" s="885" t="str">
        <f>'CBS (Total)'!C60</f>
        <v>Consumables</v>
      </c>
      <c r="D61" s="885"/>
      <c r="E61" s="885"/>
      <c r="F61" s="885"/>
      <c r="G61" s="885"/>
      <c r="H61" s="885"/>
      <c r="I61" s="897"/>
      <c r="J61" s="1138">
        <f>'CBS (Total)'!J60/'CBS ($ per kW)'!J$1</f>
        <v>37.470856000888197</v>
      </c>
      <c r="K61" s="1121">
        <f t="shared" si="19"/>
        <v>7.1979403062439381E-4</v>
      </c>
      <c r="L61" s="1138">
        <f>'CBS (Total)'!L60/'CBS ($ per kW)'!L$1</f>
        <v>37.470856000888197</v>
      </c>
      <c r="M61" s="1121">
        <f t="shared" si="20"/>
        <v>1.8067152111993974E-3</v>
      </c>
      <c r="N61" s="1138">
        <f>'CBS (Total)'!N60/'CBS ($ per kW)'!N$1</f>
        <v>37.470856000888197</v>
      </c>
      <c r="O61" s="1121">
        <f t="shared" si="21"/>
        <v>2.5887658517183914E-3</v>
      </c>
      <c r="P61" s="1156">
        <f>'CBS (Total)'!P60/'CBS ($ per kW)'!P$1</f>
        <v>37.470856000888197</v>
      </c>
      <c r="Q61" s="1091">
        <f t="shared" si="22"/>
        <v>2.7153114334542458E-3</v>
      </c>
    </row>
    <row r="62" spans="1:19" ht="14.45" x14ac:dyDescent="0.3">
      <c r="I62" s="59"/>
      <c r="J62" s="131"/>
      <c r="K62" s="75"/>
      <c r="L62" s="131"/>
      <c r="M62" s="75"/>
      <c r="N62" s="131"/>
      <c r="O62" s="75"/>
      <c r="P62" s="130"/>
      <c r="Q62" s="59"/>
    </row>
    <row r="63" spans="1:19" s="57" customFormat="1" ht="14.45" x14ac:dyDescent="0.3">
      <c r="A63" s="1111" t="s">
        <v>181</v>
      </c>
      <c r="B63" s="1112"/>
      <c r="C63" s="1112"/>
      <c r="D63" s="1112"/>
      <c r="E63" s="1112"/>
      <c r="F63" s="1112"/>
      <c r="G63" s="1112"/>
      <c r="H63" s="1112"/>
      <c r="I63" s="1112"/>
      <c r="J63" s="1117">
        <f>'CBS (Total)'!J62/'CBS ($ per kW)'!J$1</f>
        <v>3169.2318237796499</v>
      </c>
      <c r="K63" s="1122">
        <f t="shared" ref="K63:Q63" si="23">SUM(K56:K61)</f>
        <v>6.0879157614317114E-2</v>
      </c>
      <c r="L63" s="1117">
        <f>'CBS (Total)'!L62/'CBS ($ per kW)'!L$1</f>
        <v>1282.5413364531721</v>
      </c>
      <c r="M63" s="1122">
        <f t="shared" si="23"/>
        <v>6.1839711948588109E-2</v>
      </c>
      <c r="N63" s="1117">
        <f>'CBS (Total)'!N62/'CBS ($ per kW)'!N$1</f>
        <v>324.44872146416992</v>
      </c>
      <c r="O63" s="1122">
        <f t="shared" si="23"/>
        <v>2.2415334486626772E-2</v>
      </c>
      <c r="P63" s="1157">
        <f>'CBS (Total)'!P62/'CBS ($ per kW)'!P$1</f>
        <v>202.42190169033839</v>
      </c>
      <c r="Q63" s="1115">
        <f t="shared" si="23"/>
        <v>1.4668426684148842E-2</v>
      </c>
    </row>
    <row r="64" spans="1:19" ht="14.45" x14ac:dyDescent="0.3">
      <c r="J64" s="3"/>
      <c r="K64" s="82"/>
      <c r="L64" s="3"/>
      <c r="M64" s="82"/>
      <c r="N64" s="3"/>
      <c r="O64" s="82"/>
      <c r="P64" s="3"/>
    </row>
    <row r="65" spans="1:17" ht="14.45" x14ac:dyDescent="0.3">
      <c r="J65" s="59"/>
      <c r="K65" s="75"/>
      <c r="L65" s="59"/>
      <c r="M65" s="75"/>
      <c r="N65" s="59"/>
      <c r="O65" s="75"/>
      <c r="P65" s="59"/>
    </row>
    <row r="66" spans="1:17" thickBot="1" x14ac:dyDescent="0.35">
      <c r="A66" s="1123" t="s">
        <v>725</v>
      </c>
      <c r="B66" s="1124"/>
      <c r="C66" s="1124"/>
      <c r="D66" s="1124"/>
      <c r="E66" s="1124"/>
      <c r="F66" s="1124"/>
      <c r="G66" s="1124"/>
      <c r="H66" s="1124"/>
      <c r="I66" s="1124"/>
      <c r="J66" s="1125">
        <f>'CBS (CoE)'!J66</f>
        <v>3.5945450299687276</v>
      </c>
      <c r="K66" s="1125"/>
      <c r="L66" s="1125">
        <f>'CBS (CoE)'!L66</f>
        <v>1.4402068054539348</v>
      </c>
      <c r="M66" s="1125"/>
      <c r="N66" s="1125">
        <f>'CBS (CoE)'!N66</f>
        <v>0.77188698620099538</v>
      </c>
      <c r="O66" s="1125"/>
      <c r="P66" s="1125">
        <f>'CBS (CoE)'!P66</f>
        <v>0.69221745057962181</v>
      </c>
      <c r="Q66" s="1126"/>
    </row>
    <row r="67" spans="1:17" ht="15.75" thickTop="1" x14ac:dyDescent="0.25"/>
  </sheetData>
  <mergeCells count="1">
    <mergeCell ref="J2:P2"/>
  </mergeCells>
  <pageMargins left="0.7" right="0.7" top="0.75" bottom="0.75" header="0.3" footer="0.3"/>
  <pageSetup orientation="portrait" horizont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Report Tables</vt:lpstr>
      <vt:lpstr>Report Graphs</vt:lpstr>
      <vt:lpstr>About</vt:lpstr>
      <vt:lpstr>NEW Report Graphs and Tables</vt:lpstr>
      <vt:lpstr>Uncertainty</vt:lpstr>
      <vt:lpstr>Uncertainty2</vt:lpstr>
      <vt:lpstr>Performance &amp; Economics</vt:lpstr>
      <vt:lpstr>CBS (CoE)</vt:lpstr>
      <vt:lpstr>CBS ($ per kW)</vt:lpstr>
      <vt:lpstr>CBS (Total)</vt:lpstr>
      <vt:lpstr>1.1 (RM6)</vt:lpstr>
      <vt:lpstr>1.1</vt:lpstr>
      <vt:lpstr>1.2 (RM3)</vt:lpstr>
      <vt:lpstr>1.2</vt:lpstr>
      <vt:lpstr>1.3 (RM3)</vt:lpstr>
      <vt:lpstr>1.3</vt:lpstr>
      <vt:lpstr>1.4 (RM3)</vt:lpstr>
      <vt:lpstr>1.4</vt:lpstr>
      <vt:lpstr>1.5 (RM3)</vt:lpstr>
      <vt:lpstr>1.5 (RM6)</vt:lpstr>
      <vt:lpstr>1.5</vt:lpstr>
      <vt:lpstr>1.6</vt:lpstr>
      <vt:lpstr>1.7</vt:lpstr>
      <vt:lpstr>1.7 (RM3)</vt:lpstr>
      <vt:lpstr>1.8</vt:lpstr>
      <vt:lpstr>1.9</vt:lpstr>
      <vt:lpstr>2.1</vt:lpstr>
      <vt:lpstr>2.2</vt:lpstr>
      <vt:lpstr>2.3</vt:lpstr>
      <vt:lpstr>2.4</vt:lpstr>
      <vt:lpstr>2.5 (RM3)</vt:lpstr>
      <vt:lpstr>2.5</vt:lpstr>
      <vt:lpstr>2.6</vt:lpstr>
      <vt:lpstr>ARL PTO Breakdown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dc:creator>
  <cp:lastModifiedBy>Pitcher, Natalie</cp:lastModifiedBy>
  <cp:lastPrinted>2014-07-25T22:31:56Z</cp:lastPrinted>
  <dcterms:created xsi:type="dcterms:W3CDTF">2012-04-25T12:13:03Z</dcterms:created>
  <dcterms:modified xsi:type="dcterms:W3CDTF">2015-01-12T17:49:00Z</dcterms:modified>
</cp:coreProperties>
</file>