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theme/themeOverride7.xml" ContentType="application/vnd.openxmlformats-officedocument.themeOverride+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harts/chart1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48" yWindow="276" windowWidth="14076" windowHeight="13548"/>
  </bookViews>
  <sheets>
    <sheet name="About" sheetId="25" r:id="rId1"/>
    <sheet name="Report Tables" sheetId="26" r:id="rId2"/>
    <sheet name="Report Graphs" sheetId="33" r:id="rId3"/>
    <sheet name="Performance &amp; Economics" sheetId="31" r:id="rId4"/>
    <sheet name="CBS (CoE)" sheetId="23" r:id="rId5"/>
    <sheet name="CBS ($ per kW)" sheetId="22" r:id="rId6"/>
    <sheet name="CBS (Total)" sheetId="1" r:id="rId7"/>
    <sheet name="1.1" sheetId="2" r:id="rId8"/>
    <sheet name="1.2" sheetId="3" r:id="rId9"/>
    <sheet name="1.3" sheetId="5" r:id="rId10"/>
    <sheet name="1.4" sheetId="4" r:id="rId11"/>
    <sheet name="1.5" sheetId="18" r:id="rId12"/>
    <sheet name="1.6" sheetId="7" r:id="rId13"/>
    <sheet name="1.7" sheetId="8" r:id="rId14"/>
    <sheet name="1.8" sheetId="27" r:id="rId15"/>
    <sheet name="1.9" sheetId="28" r:id="rId16"/>
    <sheet name="2.1" sheetId="11" r:id="rId17"/>
    <sheet name="2.2" sheetId="12" r:id="rId18"/>
    <sheet name="2.3" sheetId="13" r:id="rId19"/>
    <sheet name="2.4" sheetId="14" r:id="rId20"/>
    <sheet name="2.5" sheetId="15" r:id="rId21"/>
    <sheet name="2.6" sheetId="16" r:id="rId22"/>
  </sheets>
  <externalReferences>
    <externalReference r:id="rId23"/>
    <externalReference r:id="rId24"/>
    <externalReference r:id="rId25"/>
  </externalReferences>
  <definedNames>
    <definedName name="AnnArrayOMCost">#REF!</definedName>
    <definedName name="AnnArrayOutput">#REF!</definedName>
    <definedName name="ArrayInstalledCost">#REF!</definedName>
    <definedName name="Avail">[1]Master!$K$6</definedName>
    <definedName name="Availability">#REF!</definedName>
    <definedName name="AvgCurrentSpeedSurface">#REF!</definedName>
    <definedName name="AvgPowerFluxSurface">#REF!</definedName>
    <definedName name="AvgProgRatio">#REF!</definedName>
    <definedName name="CableLen">[1]Master!$K$11</definedName>
    <definedName name="Capex">#REF!</definedName>
    <definedName name="CapFactor">#REF!</definedName>
    <definedName name="Clearance">#REF!</definedName>
    <definedName name="COEReal">#REF!</definedName>
    <definedName name="CRF">#REF!</definedName>
    <definedName name="CurrentSenario">#REF!</definedName>
    <definedName name="CutinSpeed">[1]Master!$E$12</definedName>
    <definedName name="DeviceOrientation">#REF!</definedName>
    <definedName name="DuctClearance">#REF!</definedName>
    <definedName name="Grid">#REF!</definedName>
    <definedName name="HubHeight">[1]Master!$E$10</definedName>
    <definedName name="IRR">#REF!</definedName>
    <definedName name="JnctBox">[1]Master!$K$13</definedName>
    <definedName name="MonoSep">[1]Master!$K$4</definedName>
    <definedName name="nomdisc">#REF!</definedName>
    <definedName name="Nominal_CR">[1]Master!$T$5</definedName>
    <definedName name="NumTurbines">#REF!</definedName>
    <definedName name="ProgRatio">#REF!</definedName>
    <definedName name="RatedSpeed">#REF!</definedName>
    <definedName name="Real_CR">[1]Master!$T$4</definedName>
    <definedName name="realdisc">#REF!</definedName>
    <definedName name="RefCurrency">#REF!</definedName>
    <definedName name="RefYear">#REF!</definedName>
    <definedName name="rho">[2]Master!$B$2</definedName>
    <definedName name="RotorD">#REF!</definedName>
    <definedName name="RotorEff">[1]Master!$E$11</definedName>
    <definedName name="S1_ValueName1">#REF!</definedName>
    <definedName name="Senarios">#REF!</definedName>
    <definedName name="ShoreProtect">#REF!</definedName>
    <definedName name="Site_Selection">[3]Inputs!$E$10</definedName>
    <definedName name="Site_Spectral_Parameter">[3]Inputs!$E$11</definedName>
    <definedName name="solver_cvg" localSheetId="3" hidden="1">0.0001</definedName>
    <definedName name="solver_drv" localSheetId="3" hidden="1">1</definedName>
    <definedName name="solver_est" localSheetId="3" hidden="1">1</definedName>
    <definedName name="solver_itr" localSheetId="3" hidden="1">100</definedName>
    <definedName name="solver_lhs1" localSheetId="3" hidden="1">'Performance &amp; Economics'!#REF!</definedName>
    <definedName name="solver_lhs2" localSheetId="3" hidden="1">'Performance &amp; Economics'!#REF!</definedName>
    <definedName name="solver_lin" localSheetId="3" hidden="1">2</definedName>
    <definedName name="solver_neg" localSheetId="3" hidden="1">2</definedName>
    <definedName name="solver_num" localSheetId="3" hidden="1">0</definedName>
    <definedName name="solver_nwt" localSheetId="3" hidden="1">1</definedName>
    <definedName name="solver_pre" localSheetId="3" hidden="1">0.001</definedName>
    <definedName name="solver_rel1" localSheetId="3" hidden="1">1</definedName>
    <definedName name="solver_rel2" localSheetId="3" hidden="1">3</definedName>
    <definedName name="solver_rhs1" localSheetId="3" hidden="1">360</definedName>
    <definedName name="solver_rhs2" localSheetId="3" hidden="1">0</definedName>
    <definedName name="solver_scl" localSheetId="3" hidden="1">2</definedName>
    <definedName name="solver_sho" localSheetId="3" hidden="1">2</definedName>
    <definedName name="solver_tim" localSheetId="3" hidden="1">100</definedName>
    <definedName name="solver_tol" localSheetId="3" hidden="1">0.05</definedName>
    <definedName name="solver_typ" localSheetId="3" hidden="1">1</definedName>
    <definedName name="solver_val" localSheetId="3" hidden="1">0</definedName>
    <definedName name="SVTable1">#REF!</definedName>
    <definedName name="TranUpgrade">#REF!</definedName>
    <definedName name="TrenchDist">[1]Master!$K$9</definedName>
    <definedName name="TurbineCapital">#REF!</definedName>
    <definedName name="VelFactor">#REF!</definedName>
    <definedName name="WaterDepth">#REF!</definedName>
  </definedNames>
  <calcPr calcId="145621"/>
</workbook>
</file>

<file path=xl/calcChain.xml><?xml version="1.0" encoding="utf-8"?>
<calcChain xmlns="http://schemas.openxmlformats.org/spreadsheetml/2006/main">
  <c r="Q17" i="31" l="1"/>
  <c r="F53" i="4" l="1"/>
  <c r="B169" i="26" l="1"/>
  <c r="B158" i="26"/>
  <c r="E146" i="26"/>
  <c r="D146" i="26"/>
  <c r="C146" i="26"/>
  <c r="B146" i="26"/>
  <c r="Q14" i="31" l="1"/>
  <c r="Q6" i="31"/>
  <c r="I22" i="31"/>
  <c r="I23" i="31"/>
  <c r="I24" i="31"/>
  <c r="J24" i="31" s="1"/>
  <c r="K24" i="31" s="1"/>
  <c r="I25" i="31"/>
  <c r="J25" i="31" s="1"/>
  <c r="K25" i="31" s="1"/>
  <c r="I29" i="31"/>
  <c r="J29" i="31" s="1"/>
  <c r="K29" i="31" s="1"/>
  <c r="I30" i="31"/>
  <c r="J30" i="31" s="1"/>
  <c r="I38" i="31"/>
  <c r="J38" i="31" s="1"/>
  <c r="I40" i="31"/>
  <c r="J40" i="31" s="1"/>
  <c r="K40" i="31" s="1"/>
  <c r="I48" i="31"/>
  <c r="J48" i="31" s="1"/>
  <c r="K48" i="31" s="1"/>
  <c r="I49" i="31"/>
  <c r="J49" i="31" s="1"/>
  <c r="K49" i="31" s="1"/>
  <c r="I51" i="31"/>
  <c r="J51" i="31" s="1"/>
  <c r="K51" i="31" s="1"/>
  <c r="I21" i="31"/>
  <c r="J21" i="31"/>
  <c r="K21" i="31" s="1"/>
  <c r="G9" i="31"/>
  <c r="I28" i="31" s="1"/>
  <c r="J28" i="31" s="1"/>
  <c r="J23" i="31"/>
  <c r="J22" i="31"/>
  <c r="I46" i="31" l="1"/>
  <c r="J46" i="31" s="1"/>
  <c r="K46" i="31" s="1"/>
  <c r="I37" i="31"/>
  <c r="J37" i="31" s="1"/>
  <c r="K37" i="31" s="1"/>
  <c r="I27" i="31"/>
  <c r="J27" i="31" s="1"/>
  <c r="K27" i="31" s="1"/>
  <c r="I45" i="31"/>
  <c r="J45" i="31" s="1"/>
  <c r="K45" i="31" s="1"/>
  <c r="L45" i="31" s="1"/>
  <c r="I36" i="31"/>
  <c r="J36" i="31" s="1"/>
  <c r="K36" i="31" s="1"/>
  <c r="L36" i="31" s="1"/>
  <c r="I26" i="31"/>
  <c r="J26" i="31" s="1"/>
  <c r="K26" i="31" s="1"/>
  <c r="L26" i="31" s="1"/>
  <c r="I44" i="31"/>
  <c r="J44" i="31" s="1"/>
  <c r="K44" i="31" s="1"/>
  <c r="L44" i="31" s="1"/>
  <c r="I35" i="31"/>
  <c r="J35" i="31" s="1"/>
  <c r="K35" i="31" s="1"/>
  <c r="I43" i="31"/>
  <c r="J43" i="31" s="1"/>
  <c r="K43" i="31" s="1"/>
  <c r="I34" i="31"/>
  <c r="J34" i="31" s="1"/>
  <c r="I42" i="31"/>
  <c r="J42" i="31" s="1"/>
  <c r="K42" i="31" s="1"/>
  <c r="I33" i="31"/>
  <c r="J33" i="31" s="1"/>
  <c r="K33" i="31" s="1"/>
  <c r="I50" i="31"/>
  <c r="J50" i="31" s="1"/>
  <c r="K50" i="31" s="1"/>
  <c r="L50" i="31" s="1"/>
  <c r="I41" i="31"/>
  <c r="J41" i="31" s="1"/>
  <c r="K41" i="31" s="1"/>
  <c r="L41" i="31" s="1"/>
  <c r="I32" i="31"/>
  <c r="J32" i="31" s="1"/>
  <c r="K32" i="31" s="1"/>
  <c r="L32" i="31" s="1"/>
  <c r="L21" i="31"/>
  <c r="K34" i="31"/>
  <c r="L34" i="31" s="1"/>
  <c r="K30" i="31"/>
  <c r="L30" i="31" s="1"/>
  <c r="K28" i="31"/>
  <c r="L28" i="31" s="1"/>
  <c r="K23" i="31"/>
  <c r="L23" i="31" s="1"/>
  <c r="I47" i="31"/>
  <c r="J47" i="31" s="1"/>
  <c r="I39" i="31"/>
  <c r="J39" i="31" s="1"/>
  <c r="I31" i="31"/>
  <c r="J31" i="31" s="1"/>
  <c r="K38" i="31"/>
  <c r="L38" i="31" s="1"/>
  <c r="K22" i="31"/>
  <c r="L22" i="31" s="1"/>
  <c r="L46" i="31"/>
  <c r="L40" i="31"/>
  <c r="L37" i="31"/>
  <c r="L29" i="31"/>
  <c r="L51" i="31"/>
  <c r="L43" i="31"/>
  <c r="L35" i="31"/>
  <c r="L27" i="31"/>
  <c r="L42" i="31"/>
  <c r="L49" i="31"/>
  <c r="L33" i="31"/>
  <c r="L25" i="31"/>
  <c r="L24" i="31"/>
  <c r="L48" i="31"/>
  <c r="I57" i="18"/>
  <c r="I58" i="18"/>
  <c r="I59" i="18"/>
  <c r="F15" i="18" s="1"/>
  <c r="I60" i="18"/>
  <c r="I61" i="18"/>
  <c r="I62" i="18"/>
  <c r="I63" i="18"/>
  <c r="I64" i="18"/>
  <c r="F4" i="18" s="1"/>
  <c r="I65" i="18"/>
  <c r="I66" i="18"/>
  <c r="I67" i="18"/>
  <c r="F6" i="18" s="1"/>
  <c r="I68" i="18"/>
  <c r="I69" i="18"/>
  <c r="F8" i="18" s="1"/>
  <c r="I70" i="18"/>
  <c r="I71" i="18"/>
  <c r="F16" i="18" s="1"/>
  <c r="N5" i="1"/>
  <c r="F5" i="18"/>
  <c r="F7" i="18"/>
  <c r="F10" i="18"/>
  <c r="F11" i="18"/>
  <c r="F12" i="18"/>
  <c r="F13" i="18"/>
  <c r="F14" i="18"/>
  <c r="F17" i="18"/>
  <c r="K52" i="18"/>
  <c r="J52" i="18"/>
  <c r="J51" i="18"/>
  <c r="K51" i="18" s="1"/>
  <c r="G51" i="18"/>
  <c r="I72" i="18"/>
  <c r="F9" i="18" s="1"/>
  <c r="Q8" i="31" l="1"/>
  <c r="K31" i="31"/>
  <c r="L31" i="31" s="1"/>
  <c r="K39" i="31"/>
  <c r="Q12" i="31"/>
  <c r="K47" i="31"/>
  <c r="L47" i="31" s="1"/>
  <c r="Q7" i="31"/>
  <c r="Q9" i="31"/>
  <c r="Q13" i="31" l="1"/>
  <c r="Q15" i="31"/>
  <c r="L39" i="31"/>
  <c r="Q16" i="31" s="1"/>
  <c r="I52" i="18" l="1"/>
  <c r="I51" i="18"/>
  <c r="A52" i="26"/>
  <c r="A4" i="26"/>
  <c r="E60" i="26"/>
  <c r="D60" i="26"/>
  <c r="C60" i="26"/>
  <c r="B60" i="26"/>
  <c r="E58" i="26"/>
  <c r="D58" i="26"/>
  <c r="C58" i="26"/>
  <c r="B58" i="26"/>
  <c r="E57" i="26"/>
  <c r="D57" i="26"/>
  <c r="C57" i="26"/>
  <c r="B57" i="26"/>
  <c r="E56" i="26"/>
  <c r="D56" i="26"/>
  <c r="C56" i="26"/>
  <c r="B56" i="26"/>
  <c r="N60" i="1"/>
  <c r="E14" i="26"/>
  <c r="D14" i="26"/>
  <c r="C14" i="26"/>
  <c r="B14" i="26"/>
  <c r="E158" i="8" l="1"/>
  <c r="E160" i="8" s="1"/>
  <c r="G157" i="8"/>
  <c r="I157" i="8" s="1"/>
  <c r="K16" i="8"/>
  <c r="M16" i="8" s="1"/>
  <c r="K17" i="8"/>
  <c r="N17" i="8" s="1"/>
  <c r="K18" i="8"/>
  <c r="K15" i="8"/>
  <c r="L15" i="8" s="1"/>
  <c r="E19" i="8"/>
  <c r="K19" i="8" s="1"/>
  <c r="L19" i="8" s="1"/>
  <c r="F16" i="8"/>
  <c r="F21" i="8" s="1"/>
  <c r="F5" i="8" s="1"/>
  <c r="E16" i="5"/>
  <c r="E15" i="5"/>
  <c r="N15" i="8" l="1"/>
  <c r="L17" i="8"/>
  <c r="L16" i="8"/>
  <c r="E21" i="8"/>
  <c r="H157" i="8"/>
  <c r="J157" i="8"/>
  <c r="L21" i="8"/>
  <c r="N19" i="8"/>
  <c r="K21" i="8"/>
  <c r="M19" i="8"/>
  <c r="M15" i="8"/>
  <c r="M17" i="8"/>
  <c r="N16" i="8"/>
  <c r="G158" i="8"/>
  <c r="E5" i="2"/>
  <c r="E8" i="2"/>
  <c r="H8" i="2" s="1"/>
  <c r="F8" i="2" l="1"/>
  <c r="G8" i="2"/>
  <c r="I158" i="8"/>
  <c r="I160" i="8" s="1"/>
  <c r="J158" i="8"/>
  <c r="H158" i="8"/>
  <c r="J160" i="8"/>
  <c r="N21" i="8"/>
  <c r="H160" i="8"/>
  <c r="G160" i="8"/>
  <c r="M21" i="8"/>
  <c r="F5" i="2"/>
  <c r="G5" i="2"/>
  <c r="H5" i="2"/>
  <c r="J2" i="23" l="1"/>
  <c r="N2" i="23" s="1"/>
  <c r="G57" i="31" l="1"/>
  <c r="G65" i="31" l="1"/>
  <c r="G73" i="31"/>
  <c r="G72" i="31"/>
  <c r="G74" i="31" s="1"/>
  <c r="L52" i="1"/>
  <c r="L1" i="23"/>
  <c r="N1" i="23"/>
  <c r="P1" i="23"/>
  <c r="J1" i="23"/>
  <c r="P1" i="22"/>
  <c r="E3" i="33" s="1"/>
  <c r="E4" i="33" s="1"/>
  <c r="N1" i="22"/>
  <c r="D3" i="33" s="1"/>
  <c r="D4" i="33" s="1"/>
  <c r="L1" i="22"/>
  <c r="C3" i="33" s="1"/>
  <c r="C4" i="33" s="1"/>
  <c r="J1" i="22"/>
  <c r="B3" i="33" s="1"/>
  <c r="B4" i="33" s="1"/>
  <c r="I31" i="23"/>
  <c r="D31" i="23"/>
  <c r="I30" i="23"/>
  <c r="D30" i="23"/>
  <c r="I29" i="23"/>
  <c r="D29" i="23"/>
  <c r="I28" i="23"/>
  <c r="D28" i="23"/>
  <c r="I27" i="23"/>
  <c r="D27" i="23"/>
  <c r="I31" i="22"/>
  <c r="D31" i="22"/>
  <c r="I30" i="22"/>
  <c r="D30" i="22"/>
  <c r="I29" i="22"/>
  <c r="D29" i="22"/>
  <c r="I28" i="22"/>
  <c r="D28" i="22"/>
  <c r="I27" i="22"/>
  <c r="D27" i="22"/>
  <c r="G75" i="31" l="1"/>
  <c r="G76" i="31"/>
  <c r="L2" i="23"/>
  <c r="J55" i="22"/>
  <c r="B30" i="26" s="1"/>
  <c r="N55" i="22"/>
  <c r="D30" i="26" s="1"/>
  <c r="L54" i="22"/>
  <c r="P55" i="22"/>
  <c r="E30" i="26" s="1"/>
  <c r="P2" i="23"/>
  <c r="I26" i="23"/>
  <c r="I26" i="22"/>
  <c r="G77" i="31" l="1"/>
  <c r="J55" i="23"/>
  <c r="L54" i="23"/>
  <c r="N55" i="23"/>
  <c r="D46" i="26" s="1"/>
  <c r="P55" i="23"/>
  <c r="F46" i="26" s="1"/>
  <c r="G15" i="8" l="1"/>
  <c r="I17" i="8"/>
  <c r="H17" i="8"/>
  <c r="G17" i="8"/>
  <c r="I16" i="8"/>
  <c r="H16" i="8"/>
  <c r="G16" i="8"/>
  <c r="H15" i="8" l="1"/>
  <c r="G21" i="8"/>
  <c r="G5" i="8" s="1"/>
  <c r="D55" i="3"/>
  <c r="D66" i="3" s="1"/>
  <c r="D45" i="3"/>
  <c r="D34" i="3"/>
  <c r="L109" i="8"/>
  <c r="J109" i="8"/>
  <c r="H109" i="8"/>
  <c r="F109" i="8"/>
  <c r="F95" i="8"/>
  <c r="F4" i="14"/>
  <c r="G4" i="14"/>
  <c r="H4" i="14"/>
  <c r="E4" i="14"/>
  <c r="F35" i="14"/>
  <c r="E35" i="14"/>
  <c r="D35" i="14"/>
  <c r="C35" i="14"/>
  <c r="D83" i="13"/>
  <c r="D73" i="13"/>
  <c r="E93" i="13" s="1"/>
  <c r="E17" i="5"/>
  <c r="E14" i="5"/>
  <c r="G7" i="4"/>
  <c r="H7" i="4"/>
  <c r="G68" i="4"/>
  <c r="H68" i="4"/>
  <c r="I68" i="4"/>
  <c r="F68" i="4"/>
  <c r="G46" i="4"/>
  <c r="H46" i="4"/>
  <c r="I46" i="4"/>
  <c r="F46" i="4"/>
  <c r="F47" i="4" s="1"/>
  <c r="G34" i="4"/>
  <c r="H34" i="4"/>
  <c r="I34" i="4"/>
  <c r="F34" i="4"/>
  <c r="F35" i="4" s="1"/>
  <c r="G21" i="4"/>
  <c r="H21" i="4"/>
  <c r="I21" i="4"/>
  <c r="F21" i="4"/>
  <c r="E58" i="4"/>
  <c r="G56" i="4"/>
  <c r="F7" i="4" s="1"/>
  <c r="H56" i="4"/>
  <c r="I56" i="4"/>
  <c r="H15" i="5"/>
  <c r="G15" i="5"/>
  <c r="F15" i="5"/>
  <c r="H8" i="4" l="1"/>
  <c r="I69" i="4"/>
  <c r="G8" i="4"/>
  <c r="H69" i="4"/>
  <c r="F8" i="4"/>
  <c r="G69" i="4"/>
  <c r="E8" i="4"/>
  <c r="F69" i="4"/>
  <c r="G6" i="4"/>
  <c r="H47" i="4"/>
  <c r="F6" i="4"/>
  <c r="G47" i="4"/>
  <c r="H6" i="4"/>
  <c r="I47" i="4"/>
  <c r="G5" i="4"/>
  <c r="H35" i="4"/>
  <c r="H5" i="4"/>
  <c r="I35" i="4"/>
  <c r="F5" i="4"/>
  <c r="G35" i="4"/>
  <c r="E5" i="4"/>
  <c r="I15" i="8"/>
  <c r="I21" i="8" s="1"/>
  <c r="I5" i="8" s="1"/>
  <c r="H21" i="8"/>
  <c r="H5" i="8" s="1"/>
  <c r="D93" i="13"/>
  <c r="G93" i="13"/>
  <c r="F93" i="13"/>
  <c r="F56" i="4"/>
  <c r="E7" i="4" s="1"/>
  <c r="E4" i="4"/>
  <c r="H4" i="4"/>
  <c r="G4" i="4"/>
  <c r="E6" i="4"/>
  <c r="F4" i="4"/>
  <c r="E18" i="5" l="1"/>
  <c r="E7" i="3"/>
  <c r="E102" i="3"/>
  <c r="F7" i="3" s="1"/>
  <c r="D71" i="3"/>
  <c r="G56" i="2"/>
  <c r="H56" i="2" s="1"/>
  <c r="F57" i="2"/>
  <c r="F59" i="2" s="1"/>
  <c r="E9" i="2" s="1"/>
  <c r="G57" i="2" l="1"/>
  <c r="H57" i="2" s="1"/>
  <c r="I57" i="2" s="1"/>
  <c r="G59" i="2"/>
  <c r="F9" i="2" s="1"/>
  <c r="H59" i="2"/>
  <c r="G9" i="2" s="1"/>
  <c r="I56" i="2"/>
  <c r="I59" i="2" s="1"/>
  <c r="H9" i="2" s="1"/>
  <c r="F102" i="3"/>
  <c r="G7" i="3" s="1"/>
  <c r="G102" i="3"/>
  <c r="H7" i="3" s="1"/>
  <c r="J33" i="1" l="1"/>
  <c r="J35" i="23" l="1"/>
  <c r="J35" i="22"/>
  <c r="F6" i="2" l="1"/>
  <c r="F7" i="2"/>
  <c r="E125" i="8"/>
  <c r="E126" i="8"/>
  <c r="E127" i="8"/>
  <c r="H7" i="2" l="1"/>
  <c r="G7" i="2"/>
  <c r="H6" i="2"/>
  <c r="G6" i="2"/>
  <c r="H23" i="5" l="1"/>
  <c r="H27" i="5" l="1"/>
  <c r="G145" i="8" l="1"/>
  <c r="G146" i="8"/>
  <c r="G147" i="8"/>
  <c r="G144" i="8"/>
  <c r="E148" i="8"/>
  <c r="G148" i="8" s="1"/>
  <c r="E130" i="8"/>
  <c r="E128" i="8"/>
  <c r="G128" i="8" s="1"/>
  <c r="F127" i="8"/>
  <c r="G127" i="8" s="1"/>
  <c r="F126" i="8"/>
  <c r="E132" i="8"/>
  <c r="E129" i="8"/>
  <c r="G125" i="8"/>
  <c r="G117" i="8"/>
  <c r="I117" i="8" s="1"/>
  <c r="M97" i="8"/>
  <c r="K97" i="8"/>
  <c r="I97" i="8"/>
  <c r="L92" i="8"/>
  <c r="J92" i="8"/>
  <c r="H92" i="8"/>
  <c r="F92" i="8"/>
  <c r="G92" i="8" s="1"/>
  <c r="L95" i="8"/>
  <c r="M95" i="8" s="1"/>
  <c r="L94" i="8"/>
  <c r="M94" i="8" s="1"/>
  <c r="L93" i="8"/>
  <c r="M93" i="8" s="1"/>
  <c r="J95" i="8"/>
  <c r="K95" i="8" s="1"/>
  <c r="J94" i="8"/>
  <c r="K94" i="8" s="1"/>
  <c r="J93" i="8"/>
  <c r="K93" i="8" s="1"/>
  <c r="H95" i="8"/>
  <c r="I95" i="8" s="1"/>
  <c r="H94" i="8"/>
  <c r="I94" i="8" s="1"/>
  <c r="H93" i="8"/>
  <c r="I93" i="8" s="1"/>
  <c r="G95" i="8"/>
  <c r="F94" i="8"/>
  <c r="G94" i="8" s="1"/>
  <c r="E107" i="8"/>
  <c r="K107" i="8" s="1"/>
  <c r="F93" i="8"/>
  <c r="L116" i="8"/>
  <c r="J116" i="8"/>
  <c r="J120" i="8" s="1"/>
  <c r="H116" i="8"/>
  <c r="E116" i="8"/>
  <c r="F116" i="8"/>
  <c r="F96" i="8" s="1"/>
  <c r="G96" i="8" s="1"/>
  <c r="E115" i="8"/>
  <c r="K115" i="8" s="1"/>
  <c r="E114" i="8"/>
  <c r="K114" i="8" s="1"/>
  <c r="E113" i="8"/>
  <c r="M113" i="8" s="1"/>
  <c r="E112" i="8"/>
  <c r="I112" i="8" s="1"/>
  <c r="E111" i="8"/>
  <c r="M111" i="8" s="1"/>
  <c r="E110" i="8"/>
  <c r="I110" i="8" s="1"/>
  <c r="E109" i="8"/>
  <c r="I109" i="8" s="1"/>
  <c r="E108" i="8"/>
  <c r="K108" i="8" s="1"/>
  <c r="E106" i="8"/>
  <c r="K106" i="8" s="1"/>
  <c r="E105" i="8"/>
  <c r="E104" i="8"/>
  <c r="I104" i="8" s="1"/>
  <c r="P55" i="8"/>
  <c r="M55" i="8"/>
  <c r="J55" i="8"/>
  <c r="N52" i="8"/>
  <c r="N53" i="8"/>
  <c r="N54" i="8"/>
  <c r="N51" i="8"/>
  <c r="K52" i="8"/>
  <c r="K53" i="8"/>
  <c r="K54" i="8"/>
  <c r="K51" i="8"/>
  <c r="H52" i="8"/>
  <c r="H53" i="8"/>
  <c r="H54" i="8"/>
  <c r="H51" i="8"/>
  <c r="H148" i="8" l="1"/>
  <c r="I148" i="8"/>
  <c r="J148" i="8"/>
  <c r="I147" i="8"/>
  <c r="J147" i="8"/>
  <c r="H147" i="8"/>
  <c r="H144" i="8"/>
  <c r="H150" i="8" s="1"/>
  <c r="I144" i="8"/>
  <c r="I150" i="8" s="1"/>
  <c r="J144" i="8"/>
  <c r="J146" i="8"/>
  <c r="H146" i="8"/>
  <c r="I146" i="8"/>
  <c r="I145" i="8"/>
  <c r="H145" i="8"/>
  <c r="J145" i="8"/>
  <c r="L96" i="8"/>
  <c r="M96" i="8" s="1"/>
  <c r="M100" i="8" s="1"/>
  <c r="L120" i="8"/>
  <c r="K92" i="8"/>
  <c r="M92" i="8"/>
  <c r="H96" i="8"/>
  <c r="H100" i="8" s="1"/>
  <c r="H120" i="8"/>
  <c r="K117" i="8"/>
  <c r="I92" i="8"/>
  <c r="M117" i="8"/>
  <c r="G109" i="8"/>
  <c r="K111" i="8"/>
  <c r="K110" i="8"/>
  <c r="M105" i="8"/>
  <c r="G105" i="8"/>
  <c r="K109" i="8"/>
  <c r="I107" i="8"/>
  <c r="M109" i="8"/>
  <c r="G116" i="8"/>
  <c r="G150" i="8"/>
  <c r="E150" i="8"/>
  <c r="G110" i="8"/>
  <c r="I111" i="8"/>
  <c r="K105" i="8"/>
  <c r="K113" i="8"/>
  <c r="I116" i="8"/>
  <c r="G111" i="8"/>
  <c r="I115" i="8"/>
  <c r="I108" i="8"/>
  <c r="K116" i="8"/>
  <c r="I106" i="8"/>
  <c r="M110" i="8"/>
  <c r="F100" i="8"/>
  <c r="G112" i="8"/>
  <c r="M112" i="8"/>
  <c r="K112" i="8"/>
  <c r="I114" i="8"/>
  <c r="G93" i="8"/>
  <c r="G100" i="8" s="1"/>
  <c r="I113" i="8"/>
  <c r="I105" i="8"/>
  <c r="M104" i="8"/>
  <c r="J96" i="8"/>
  <c r="K96" i="8" s="1"/>
  <c r="K104" i="8"/>
  <c r="G126" i="8"/>
  <c r="G104" i="8"/>
  <c r="G108" i="8"/>
  <c r="M116" i="8"/>
  <c r="M108" i="8"/>
  <c r="G115" i="8"/>
  <c r="G107" i="8"/>
  <c r="M115" i="8"/>
  <c r="M107" i="8"/>
  <c r="F129" i="8"/>
  <c r="G129" i="8" s="1"/>
  <c r="G114" i="8"/>
  <c r="G106" i="8"/>
  <c r="F120" i="8"/>
  <c r="M114" i="8"/>
  <c r="M106" i="8"/>
  <c r="G113" i="8"/>
  <c r="J150" i="8" l="1"/>
  <c r="K100" i="8"/>
  <c r="I96" i="8"/>
  <c r="I100" i="8" s="1"/>
  <c r="L100" i="8"/>
  <c r="K120" i="8"/>
  <c r="J100" i="8"/>
  <c r="G9" i="8"/>
  <c r="H9" i="8"/>
  <c r="I9" i="8"/>
  <c r="F9" i="8"/>
  <c r="I120" i="8"/>
  <c r="G120" i="8"/>
  <c r="M120" i="8"/>
  <c r="F130" i="8"/>
  <c r="G130" i="8" s="1"/>
  <c r="G132" i="8" s="1"/>
  <c r="I8" i="8" s="1"/>
  <c r="H8" i="8" l="1"/>
  <c r="G8" i="8"/>
  <c r="F8" i="8"/>
  <c r="F132" i="8"/>
  <c r="S64" i="8" l="1"/>
  <c r="S65" i="8"/>
  <c r="S66" i="8"/>
  <c r="S68" i="8"/>
  <c r="S69" i="8"/>
  <c r="S70" i="8"/>
  <c r="S63" i="8"/>
  <c r="O51" i="8" s="1"/>
  <c r="P64" i="8"/>
  <c r="L52" i="8" s="1"/>
  <c r="M52" i="8" s="1"/>
  <c r="P65" i="8"/>
  <c r="P66" i="8"/>
  <c r="P68" i="8"/>
  <c r="P69" i="8"/>
  <c r="P70" i="8"/>
  <c r="P63" i="8"/>
  <c r="L51" i="8" s="1"/>
  <c r="M64" i="8"/>
  <c r="M65" i="8"/>
  <c r="M66" i="8"/>
  <c r="M68" i="8"/>
  <c r="M69" i="8"/>
  <c r="M70" i="8"/>
  <c r="M63" i="8"/>
  <c r="I51" i="8" s="1"/>
  <c r="K72" i="8"/>
  <c r="Q72" i="8" s="1"/>
  <c r="K68" i="8"/>
  <c r="T68" i="8" s="1"/>
  <c r="K67" i="8"/>
  <c r="T67" i="8" s="1"/>
  <c r="K66" i="8"/>
  <c r="T66" i="8" s="1"/>
  <c r="K65" i="8"/>
  <c r="Q65" i="8" s="1"/>
  <c r="K64" i="8"/>
  <c r="Q64" i="8" s="1"/>
  <c r="K63" i="8"/>
  <c r="Q63" i="8" s="1"/>
  <c r="J64" i="8"/>
  <c r="J65" i="8"/>
  <c r="J66" i="8"/>
  <c r="J68" i="8"/>
  <c r="L68" i="8" s="1"/>
  <c r="J69" i="8"/>
  <c r="J70" i="8"/>
  <c r="J63" i="8"/>
  <c r="F51" i="8" s="1"/>
  <c r="F67" i="8"/>
  <c r="S67" i="8" s="1"/>
  <c r="U68" i="8" l="1"/>
  <c r="O52" i="8"/>
  <c r="P52" i="8" s="1"/>
  <c r="G51" i="8"/>
  <c r="O53" i="8"/>
  <c r="P53" i="8" s="1"/>
  <c r="P51" i="8"/>
  <c r="L65" i="8"/>
  <c r="M51" i="8"/>
  <c r="I52" i="8"/>
  <c r="J52" i="8" s="1"/>
  <c r="F52" i="8"/>
  <c r="G52" i="8" s="1"/>
  <c r="J51" i="8"/>
  <c r="N68" i="8"/>
  <c r="O68" i="8" s="1"/>
  <c r="L64" i="8"/>
  <c r="Q68" i="8"/>
  <c r="R68" i="8" s="1"/>
  <c r="U67" i="8"/>
  <c r="R63" i="8"/>
  <c r="T64" i="8"/>
  <c r="U64" i="8" s="1"/>
  <c r="U66" i="8"/>
  <c r="T72" i="8"/>
  <c r="R64" i="8"/>
  <c r="J67" i="8"/>
  <c r="L67" i="8" s="1"/>
  <c r="T63" i="8"/>
  <c r="U63" i="8" s="1"/>
  <c r="M67" i="8"/>
  <c r="I53" i="8" s="1"/>
  <c r="J53" i="8" s="1"/>
  <c r="L66" i="8"/>
  <c r="R65" i="8"/>
  <c r="Q67" i="8"/>
  <c r="T65" i="8"/>
  <c r="U65" i="8" s="1"/>
  <c r="N67" i="8"/>
  <c r="N66" i="8"/>
  <c r="O66" i="8" s="1"/>
  <c r="Q66" i="8"/>
  <c r="R66" i="8" s="1"/>
  <c r="P67" i="8"/>
  <c r="L53" i="8" s="1"/>
  <c r="M53" i="8" s="1"/>
  <c r="N65" i="8"/>
  <c r="O65" i="8" s="1"/>
  <c r="N72" i="8"/>
  <c r="O54" i="8" l="1"/>
  <c r="P54" i="8" s="1"/>
  <c r="P57" i="8" s="1"/>
  <c r="F53" i="8"/>
  <c r="G53" i="8" s="1"/>
  <c r="I54" i="8"/>
  <c r="J54" i="8" s="1"/>
  <c r="J57" i="8" s="1"/>
  <c r="L54" i="8"/>
  <c r="M54" i="8" s="1"/>
  <c r="M57" i="8" s="1"/>
  <c r="O67" i="8"/>
  <c r="R67" i="8"/>
  <c r="O57" i="8" l="1"/>
  <c r="F54" i="8"/>
  <c r="G54" i="8" s="1"/>
  <c r="G57" i="8" s="1"/>
  <c r="I57" i="8"/>
  <c r="L57" i="8"/>
  <c r="F57" i="8" l="1"/>
  <c r="J62" i="1"/>
  <c r="E22" i="15"/>
  <c r="E23" i="15" s="1"/>
  <c r="E24" i="15" s="1"/>
  <c r="E26" i="15" s="1"/>
  <c r="J64" i="22" l="1"/>
  <c r="B71" i="26" s="1"/>
  <c r="J64" i="23"/>
  <c r="F50" i="15"/>
  <c r="G50" i="15"/>
  <c r="K50" i="15"/>
  <c r="K52" i="15"/>
  <c r="K53" i="15"/>
  <c r="K54" i="15"/>
  <c r="K58" i="15"/>
  <c r="G60" i="15"/>
  <c r="K60" i="15"/>
  <c r="F58" i="15"/>
  <c r="L6" i="18" l="1"/>
  <c r="L10" i="18"/>
  <c r="L12" i="18"/>
  <c r="L14" i="18"/>
  <c r="G4" i="18"/>
  <c r="L33" i="1"/>
  <c r="J43" i="1"/>
  <c r="F56" i="15"/>
  <c r="F61" i="15"/>
  <c r="F48" i="15"/>
  <c r="K50" i="18"/>
  <c r="L16" i="18" s="1"/>
  <c r="G50" i="18"/>
  <c r="I50" i="18" s="1"/>
  <c r="K49" i="18"/>
  <c r="L9" i="18" s="1"/>
  <c r="G49" i="18"/>
  <c r="I49" i="18" s="1"/>
  <c r="G9" i="18" s="1"/>
  <c r="G53" i="15" s="1"/>
  <c r="K48" i="18"/>
  <c r="I48" i="18"/>
  <c r="G12" i="18" s="1"/>
  <c r="J47" i="18"/>
  <c r="G47" i="18" s="1"/>
  <c r="I47" i="18" s="1"/>
  <c r="J46" i="18"/>
  <c r="K46" i="18" s="1"/>
  <c r="I46" i="18"/>
  <c r="K45" i="18"/>
  <c r="I45" i="18"/>
  <c r="K44" i="18"/>
  <c r="I44" i="18"/>
  <c r="K43" i="18"/>
  <c r="I43" i="18"/>
  <c r="J42" i="18"/>
  <c r="K42" i="18" s="1"/>
  <c r="L17" i="18" s="1"/>
  <c r="L61" i="15" s="1"/>
  <c r="I42" i="18"/>
  <c r="J41" i="18"/>
  <c r="K41" i="18" s="1"/>
  <c r="G41" i="18"/>
  <c r="I41" i="18" s="1"/>
  <c r="J40" i="18"/>
  <c r="K40" i="18" s="1"/>
  <c r="L7" i="18" s="1"/>
  <c r="I40" i="18"/>
  <c r="G7" i="18" s="1"/>
  <c r="J39" i="18"/>
  <c r="K39" i="18" s="1"/>
  <c r="L4" i="18" s="1"/>
  <c r="G39" i="18"/>
  <c r="I39" i="18" s="1"/>
  <c r="J38" i="18"/>
  <c r="K38" i="18" s="1"/>
  <c r="L8" i="18" s="1"/>
  <c r="I38" i="18"/>
  <c r="G8" i="18" s="1"/>
  <c r="G52" i="15" s="1"/>
  <c r="J37" i="18"/>
  <c r="K37" i="18" s="1"/>
  <c r="I37" i="18"/>
  <c r="J36" i="18"/>
  <c r="K36" i="18" s="1"/>
  <c r="I36" i="18"/>
  <c r="J35" i="18"/>
  <c r="K35" i="18" s="1"/>
  <c r="G35" i="18"/>
  <c r="I35" i="18" s="1"/>
  <c r="J34" i="18"/>
  <c r="K34" i="18" s="1"/>
  <c r="I34" i="18"/>
  <c r="J33" i="18"/>
  <c r="K33" i="18" s="1"/>
  <c r="I33" i="18"/>
  <c r="J32" i="18"/>
  <c r="K32" i="18" s="1"/>
  <c r="I32" i="18"/>
  <c r="J31" i="18"/>
  <c r="K31" i="18" s="1"/>
  <c r="I31" i="18"/>
  <c r="J30" i="18"/>
  <c r="K30" i="18" s="1"/>
  <c r="I30" i="18"/>
  <c r="J29" i="18"/>
  <c r="K29" i="18" s="1"/>
  <c r="G29" i="18"/>
  <c r="I29" i="18" s="1"/>
  <c r="G11" i="18" s="1"/>
  <c r="K11" i="18" s="1"/>
  <c r="K55" i="15" s="1"/>
  <c r="J28" i="18"/>
  <c r="K28" i="18" s="1"/>
  <c r="I28" i="18"/>
  <c r="J16" i="18"/>
  <c r="J60" i="15" s="1"/>
  <c r="I16" i="18"/>
  <c r="I60" i="15" s="1"/>
  <c r="H16" i="18"/>
  <c r="H60" i="15" s="1"/>
  <c r="G10" i="18"/>
  <c r="F54" i="15"/>
  <c r="G51" i="15"/>
  <c r="J6" i="18"/>
  <c r="J50" i="15" s="1"/>
  <c r="I6" i="18"/>
  <c r="I50" i="15" s="1"/>
  <c r="H6" i="18"/>
  <c r="H50" i="15" s="1"/>
  <c r="G5" i="18" l="1"/>
  <c r="G61" i="15"/>
  <c r="G17" i="18"/>
  <c r="G48" i="15"/>
  <c r="L11" i="18"/>
  <c r="L55" i="15" s="1"/>
  <c r="J39" i="1"/>
  <c r="J41" i="22" s="1"/>
  <c r="L13" i="18"/>
  <c r="L57" i="15" s="1"/>
  <c r="L5" i="18"/>
  <c r="I34" i="22" s="1"/>
  <c r="L53" i="15"/>
  <c r="I38" i="23"/>
  <c r="I38" i="22"/>
  <c r="I40" i="23"/>
  <c r="L60" i="15"/>
  <c r="I45" i="22"/>
  <c r="I45" i="23"/>
  <c r="L52" i="15"/>
  <c r="I37" i="22"/>
  <c r="I37" i="23"/>
  <c r="L48" i="15"/>
  <c r="I33" i="22"/>
  <c r="I33" i="23"/>
  <c r="L35" i="22"/>
  <c r="L35" i="23"/>
  <c r="L56" i="15"/>
  <c r="I41" i="22"/>
  <c r="I41" i="23"/>
  <c r="J36" i="1"/>
  <c r="J45" i="23"/>
  <c r="J45" i="22"/>
  <c r="L54" i="15"/>
  <c r="I39" i="22"/>
  <c r="I39" i="23"/>
  <c r="P43" i="1"/>
  <c r="N43" i="1"/>
  <c r="G15" i="18"/>
  <c r="G59" i="15" s="1"/>
  <c r="L43" i="1"/>
  <c r="L51" i="15"/>
  <c r="I36" i="22"/>
  <c r="I36" i="23"/>
  <c r="P33" i="1"/>
  <c r="I41" i="1"/>
  <c r="I43" i="22"/>
  <c r="I43" i="23"/>
  <c r="L50" i="15"/>
  <c r="I35" i="22"/>
  <c r="I35" i="23"/>
  <c r="G13" i="18"/>
  <c r="J31" i="1"/>
  <c r="N33" i="1"/>
  <c r="I37" i="1"/>
  <c r="I31" i="1"/>
  <c r="I36" i="1"/>
  <c r="I43" i="1"/>
  <c r="I35" i="1"/>
  <c r="I34" i="1"/>
  <c r="I33" i="1"/>
  <c r="I10" i="18"/>
  <c r="G54" i="15"/>
  <c r="J37" i="1"/>
  <c r="G56" i="15"/>
  <c r="J35" i="1"/>
  <c r="I39" i="1"/>
  <c r="K12" i="18"/>
  <c r="K56" i="15" s="1"/>
  <c r="J34" i="1"/>
  <c r="F49" i="15"/>
  <c r="F60" i="15"/>
  <c r="J9" i="18"/>
  <c r="I9" i="18"/>
  <c r="H9" i="18"/>
  <c r="H8" i="18"/>
  <c r="J8" i="18"/>
  <c r="I8" i="18"/>
  <c r="K4" i="18"/>
  <c r="H10" i="18"/>
  <c r="K47" i="18"/>
  <c r="L15" i="18" s="1"/>
  <c r="J10" i="18"/>
  <c r="H18" i="5"/>
  <c r="G18" i="5"/>
  <c r="F18" i="5"/>
  <c r="J41" i="23" l="1"/>
  <c r="K5" i="18"/>
  <c r="J5" i="18"/>
  <c r="I38" i="1"/>
  <c r="I40" i="22"/>
  <c r="J44" i="1"/>
  <c r="K17" i="18"/>
  <c r="L49" i="15"/>
  <c r="G49" i="15"/>
  <c r="K49" i="15"/>
  <c r="H12" i="18"/>
  <c r="H56" i="15" s="1"/>
  <c r="I32" i="1"/>
  <c r="I34" i="23"/>
  <c r="I40" i="1"/>
  <c r="I42" i="23"/>
  <c r="I42" i="22"/>
  <c r="L45" i="22"/>
  <c r="L45" i="23"/>
  <c r="L59" i="15"/>
  <c r="I44" i="22"/>
  <c r="I44" i="23"/>
  <c r="J37" i="23"/>
  <c r="J37" i="22"/>
  <c r="N45" i="22"/>
  <c r="N45" i="23"/>
  <c r="J38" i="23"/>
  <c r="J38" i="22"/>
  <c r="N35" i="22"/>
  <c r="N35" i="23"/>
  <c r="I42" i="1"/>
  <c r="J33" i="22"/>
  <c r="J33" i="23"/>
  <c r="P35" i="22"/>
  <c r="P35" i="23"/>
  <c r="P45" i="22"/>
  <c r="P45" i="23"/>
  <c r="J39" i="22"/>
  <c r="J39" i="23"/>
  <c r="G57" i="15"/>
  <c r="J40" i="1"/>
  <c r="J36" i="22"/>
  <c r="J36" i="23"/>
  <c r="J42" i="1"/>
  <c r="J32" i="1"/>
  <c r="K13" i="18"/>
  <c r="K57" i="15" s="1"/>
  <c r="F57" i="15"/>
  <c r="K15" i="18"/>
  <c r="J15" i="18" s="1"/>
  <c r="P42" i="1" s="1"/>
  <c r="F59" i="15"/>
  <c r="K7" i="18"/>
  <c r="J7" i="18" s="1"/>
  <c r="F51" i="15"/>
  <c r="I12" i="18"/>
  <c r="I56" i="15" s="1"/>
  <c r="I52" i="15"/>
  <c r="N35" i="1"/>
  <c r="F52" i="15"/>
  <c r="J52" i="15"/>
  <c r="P35" i="1"/>
  <c r="I54" i="15"/>
  <c r="N37" i="1"/>
  <c r="H54" i="15"/>
  <c r="L37" i="1"/>
  <c r="G55" i="15"/>
  <c r="J38" i="1"/>
  <c r="I53" i="15"/>
  <c r="N36" i="1"/>
  <c r="H4" i="18"/>
  <c r="K48" i="15"/>
  <c r="J54" i="15"/>
  <c r="P37" i="1"/>
  <c r="H52" i="15"/>
  <c r="L35" i="1"/>
  <c r="H53" i="15"/>
  <c r="L36" i="1"/>
  <c r="G14" i="18"/>
  <c r="F53" i="15"/>
  <c r="J53" i="15"/>
  <c r="P36" i="1"/>
  <c r="J12" i="18"/>
  <c r="I4" i="18"/>
  <c r="H11" i="18"/>
  <c r="J11" i="18"/>
  <c r="I11" i="18"/>
  <c r="J4" i="18"/>
  <c r="I6" i="8"/>
  <c r="H6" i="8"/>
  <c r="G6" i="8"/>
  <c r="F6" i="8"/>
  <c r="J72" i="8"/>
  <c r="K71" i="8"/>
  <c r="K70" i="8"/>
  <c r="K69" i="8"/>
  <c r="G19" i="18" l="1"/>
  <c r="G20" i="18" s="1"/>
  <c r="I17" i="18"/>
  <c r="K61" i="15"/>
  <c r="J46" i="22"/>
  <c r="J46" i="23"/>
  <c r="H17" i="18"/>
  <c r="H61" i="15" s="1"/>
  <c r="J17" i="18"/>
  <c r="J61" i="15" s="1"/>
  <c r="I13" i="18"/>
  <c r="I57" i="15" s="1"/>
  <c r="I32" i="23"/>
  <c r="I58" i="23" s="1"/>
  <c r="I30" i="1"/>
  <c r="I32" i="22"/>
  <c r="I58" i="22" s="1"/>
  <c r="J59" i="15"/>
  <c r="H15" i="18"/>
  <c r="H59" i="15" s="1"/>
  <c r="N39" i="1"/>
  <c r="N41" i="23" s="1"/>
  <c r="H13" i="18"/>
  <c r="H57" i="15" s="1"/>
  <c r="I15" i="18"/>
  <c r="N42" i="1" s="1"/>
  <c r="J13" i="18"/>
  <c r="P40" i="1" s="1"/>
  <c r="L38" i="22"/>
  <c r="L38" i="23"/>
  <c r="L39" i="22"/>
  <c r="L39" i="23"/>
  <c r="J34" i="22"/>
  <c r="J34" i="23"/>
  <c r="J44" i="22"/>
  <c r="J44" i="23"/>
  <c r="N37" i="22"/>
  <c r="N37" i="23"/>
  <c r="L37" i="22"/>
  <c r="L37" i="23"/>
  <c r="N38" i="22"/>
  <c r="N38" i="23"/>
  <c r="P38" i="22"/>
  <c r="P38" i="23"/>
  <c r="P39" i="23"/>
  <c r="P39" i="22"/>
  <c r="N39" i="22"/>
  <c r="N39" i="23"/>
  <c r="J40" i="23"/>
  <c r="J40" i="22"/>
  <c r="J42" i="22"/>
  <c r="J42" i="23"/>
  <c r="P37" i="22"/>
  <c r="P37" i="23"/>
  <c r="I7" i="18"/>
  <c r="I51" i="15" s="1"/>
  <c r="L39" i="1"/>
  <c r="K51" i="15"/>
  <c r="P44" i="22"/>
  <c r="P44" i="23"/>
  <c r="H7" i="18"/>
  <c r="H51" i="15" s="1"/>
  <c r="K59" i="15"/>
  <c r="F39" i="15"/>
  <c r="I55" i="15"/>
  <c r="N38" i="1"/>
  <c r="J55" i="15"/>
  <c r="P38" i="1"/>
  <c r="H55" i="15"/>
  <c r="L38" i="1"/>
  <c r="L31" i="1"/>
  <c r="H48" i="15"/>
  <c r="N31" i="1"/>
  <c r="I48" i="15"/>
  <c r="G58" i="15"/>
  <c r="F29" i="15" s="1"/>
  <c r="F30" i="15" s="1"/>
  <c r="J41" i="1"/>
  <c r="J30" i="1" s="1"/>
  <c r="N40" i="1"/>
  <c r="J51" i="15"/>
  <c r="P34" i="1"/>
  <c r="J56" i="15"/>
  <c r="P39" i="1"/>
  <c r="P31" i="1"/>
  <c r="J48" i="15"/>
  <c r="J74" i="8"/>
  <c r="L72" i="8"/>
  <c r="T70" i="8"/>
  <c r="U70" i="8" s="1"/>
  <c r="Q70" i="8"/>
  <c r="R70" i="8" s="1"/>
  <c r="L70" i="8"/>
  <c r="N70" i="8"/>
  <c r="O70" i="8" s="1"/>
  <c r="T69" i="8"/>
  <c r="U69" i="8" s="1"/>
  <c r="Q69" i="8"/>
  <c r="R69" i="8" s="1"/>
  <c r="N69" i="8"/>
  <c r="O69" i="8" s="1"/>
  <c r="L69" i="8"/>
  <c r="Q71" i="8"/>
  <c r="R71" i="8" s="1"/>
  <c r="N71" i="8"/>
  <c r="O71" i="8" s="1"/>
  <c r="L71" i="8"/>
  <c r="T71" i="8"/>
  <c r="U71" i="8" s="1"/>
  <c r="I5" i="18"/>
  <c r="H5" i="18"/>
  <c r="S72" i="8"/>
  <c r="N64" i="8"/>
  <c r="O64" i="8" s="1"/>
  <c r="L63" i="8"/>
  <c r="N63" i="8"/>
  <c r="O63" i="8" s="1"/>
  <c r="P72" i="8"/>
  <c r="M72" i="8"/>
  <c r="O72" i="8" s="1"/>
  <c r="K62" i="8"/>
  <c r="K61" i="8"/>
  <c r="P44" i="1" l="1"/>
  <c r="N44" i="1"/>
  <c r="I61" i="15"/>
  <c r="L44" i="1"/>
  <c r="I59" i="15"/>
  <c r="L46" i="22"/>
  <c r="L46" i="23"/>
  <c r="P46" i="22"/>
  <c r="P46" i="23"/>
  <c r="J14" i="18"/>
  <c r="J19" i="18" s="1"/>
  <c r="J20" i="18" s="1"/>
  <c r="N34" i="1"/>
  <c r="N36" i="22" s="1"/>
  <c r="L42" i="1"/>
  <c r="L44" i="22" s="1"/>
  <c r="L40" i="1"/>
  <c r="L42" i="22" s="1"/>
  <c r="J57" i="15"/>
  <c r="N41" i="22"/>
  <c r="J43" i="23"/>
  <c r="J43" i="22"/>
  <c r="L40" i="22"/>
  <c r="L40" i="23"/>
  <c r="N40" i="22"/>
  <c r="N40" i="23"/>
  <c r="P40" i="22"/>
  <c r="P40" i="23"/>
  <c r="H14" i="18"/>
  <c r="P36" i="22"/>
  <c r="P36" i="23"/>
  <c r="N44" i="22"/>
  <c r="N44" i="23"/>
  <c r="N33" i="22"/>
  <c r="N33" i="23"/>
  <c r="N42" i="22"/>
  <c r="N42" i="23"/>
  <c r="P42" i="22"/>
  <c r="P42" i="23"/>
  <c r="P33" i="22"/>
  <c r="P33" i="23"/>
  <c r="P41" i="22"/>
  <c r="P41" i="23"/>
  <c r="L34" i="1"/>
  <c r="L33" i="22"/>
  <c r="L33" i="23"/>
  <c r="L41" i="22"/>
  <c r="L41" i="23"/>
  <c r="N36" i="23"/>
  <c r="I49" i="15"/>
  <c r="N32" i="1"/>
  <c r="F40" i="15"/>
  <c r="I39" i="15"/>
  <c r="I40" i="15" s="1"/>
  <c r="H39" i="15"/>
  <c r="H40" i="15" s="1"/>
  <c r="G39" i="15"/>
  <c r="G40" i="15" s="1"/>
  <c r="H49" i="15"/>
  <c r="L32" i="1"/>
  <c r="I14" i="18"/>
  <c r="F55" i="15"/>
  <c r="J49" i="15"/>
  <c r="P32" i="1"/>
  <c r="T62" i="8"/>
  <c r="U62" i="8" s="1"/>
  <c r="Q62" i="8"/>
  <c r="R62" i="8" s="1"/>
  <c r="S74" i="8"/>
  <c r="U72" i="8"/>
  <c r="R72" i="8"/>
  <c r="P74" i="8"/>
  <c r="T61" i="8"/>
  <c r="U61" i="8" s="1"/>
  <c r="Q61" i="8"/>
  <c r="R61" i="8" s="1"/>
  <c r="N61" i="8"/>
  <c r="O61" i="8" s="1"/>
  <c r="L61" i="8"/>
  <c r="N62" i="8"/>
  <c r="O62" i="8" s="1"/>
  <c r="L62" i="8"/>
  <c r="M74" i="8"/>
  <c r="N46" i="22" l="1"/>
  <c r="N46" i="23"/>
  <c r="H19" i="18"/>
  <c r="H20" i="18" s="1"/>
  <c r="I19" i="18"/>
  <c r="I20" i="18" s="1"/>
  <c r="P41" i="1"/>
  <c r="P30" i="1" s="1"/>
  <c r="J58" i="15"/>
  <c r="I29" i="15" s="1"/>
  <c r="I30" i="15" s="1"/>
  <c r="L42" i="23"/>
  <c r="L44" i="23"/>
  <c r="E29" i="15"/>
  <c r="E30" i="15" s="1"/>
  <c r="L41" i="1"/>
  <c r="L43" i="23" s="1"/>
  <c r="H58" i="15"/>
  <c r="G29" i="15" s="1"/>
  <c r="G30" i="15" s="1"/>
  <c r="N34" i="22"/>
  <c r="N34" i="23"/>
  <c r="L36" i="22"/>
  <c r="L36" i="23"/>
  <c r="L34" i="22"/>
  <c r="L34" i="23"/>
  <c r="P34" i="22"/>
  <c r="P34" i="23"/>
  <c r="U74" i="8"/>
  <c r="U77" i="8" s="1"/>
  <c r="U80" i="8" s="1"/>
  <c r="I7" i="8" s="1"/>
  <c r="I58" i="15"/>
  <c r="H29" i="15" s="1"/>
  <c r="H30" i="15" s="1"/>
  <c r="N41" i="1"/>
  <c r="N30" i="1" s="1"/>
  <c r="L74" i="8"/>
  <c r="L77" i="8" s="1"/>
  <c r="L80" i="8" s="1"/>
  <c r="F7" i="8" s="1"/>
  <c r="O74" i="8"/>
  <c r="O77" i="8" s="1"/>
  <c r="O80" i="8" s="1"/>
  <c r="G7" i="8" s="1"/>
  <c r="R74" i="8"/>
  <c r="R77" i="8" s="1"/>
  <c r="R80" i="8" s="1"/>
  <c r="H7" i="8" s="1"/>
  <c r="L30" i="1" l="1"/>
  <c r="P43" i="23"/>
  <c r="P43" i="22"/>
  <c r="L43" i="22"/>
  <c r="N43" i="22"/>
  <c r="N43" i="23"/>
  <c r="G34" i="15"/>
  <c r="H34" i="15"/>
  <c r="F34" i="15"/>
  <c r="I34" i="15"/>
  <c r="F24" i="13"/>
  <c r="H26" i="13" l="1"/>
  <c r="H27" i="13"/>
  <c r="H28" i="13"/>
  <c r="H29" i="13"/>
  <c r="J16" i="14"/>
  <c r="J15" i="14"/>
  <c r="J17" i="14" s="1"/>
  <c r="F53" i="13"/>
  <c r="H24" i="13"/>
  <c r="F27" i="5" l="1"/>
  <c r="F5" i="5" s="1"/>
  <c r="G27" i="5"/>
  <c r="G5" i="5" s="1"/>
  <c r="H5" i="5"/>
  <c r="E27" i="5"/>
  <c r="E20" i="5"/>
  <c r="H16" i="5"/>
  <c r="G17" i="5"/>
  <c r="F16" i="5"/>
  <c r="F17" i="5"/>
  <c r="H17" i="5"/>
  <c r="G16" i="5"/>
  <c r="E4" i="5" l="1"/>
  <c r="E31" i="5"/>
  <c r="E34" i="5" s="1"/>
  <c r="E7" i="5" s="1"/>
  <c r="H20" i="5"/>
  <c r="G20" i="5"/>
  <c r="F20" i="5"/>
  <c r="E5" i="5"/>
  <c r="N16" i="1"/>
  <c r="N18" i="22" l="1"/>
  <c r="N18" i="23"/>
  <c r="F4" i="5"/>
  <c r="F31" i="5"/>
  <c r="F34" i="5" s="1"/>
  <c r="F7" i="5" s="1"/>
  <c r="G4" i="5"/>
  <c r="G31" i="5"/>
  <c r="G34" i="5" s="1"/>
  <c r="G7" i="5" s="1"/>
  <c r="H4" i="5"/>
  <c r="H31" i="5"/>
  <c r="H34" i="5" s="1"/>
  <c r="H7" i="5" s="1"/>
  <c r="D26" i="3"/>
  <c r="D28" i="3" s="1"/>
  <c r="D19" i="3"/>
  <c r="D21" i="3" s="1"/>
  <c r="D61" i="3" s="1"/>
  <c r="H10" i="5" l="1"/>
  <c r="D72" i="3"/>
  <c r="G76" i="3" s="1"/>
  <c r="G79" i="3" s="1"/>
  <c r="H5" i="3" s="1"/>
  <c r="F76" i="3"/>
  <c r="F79" i="3" s="1"/>
  <c r="G5" i="3" s="1"/>
  <c r="D50" i="3"/>
  <c r="E76" i="3" s="1"/>
  <c r="E79" i="3" s="1"/>
  <c r="F5" i="3" s="1"/>
  <c r="D40" i="3"/>
  <c r="D76" i="3" s="1"/>
  <c r="D79" i="3" s="1"/>
  <c r="E5" i="3" s="1"/>
  <c r="D35" i="3"/>
  <c r="G4" i="3" l="1"/>
  <c r="H4" i="3"/>
  <c r="F4" i="3"/>
  <c r="E4" i="3"/>
  <c r="I28" i="1" l="1"/>
  <c r="I29" i="1"/>
  <c r="E7" i="2" l="1"/>
  <c r="E6" i="2"/>
  <c r="I33" i="15"/>
  <c r="I35" i="15" s="1"/>
  <c r="N14" i="1"/>
  <c r="P14" i="1"/>
  <c r="F6" i="3"/>
  <c r="L15" i="1" s="1"/>
  <c r="G6" i="3"/>
  <c r="N15" i="1" s="1"/>
  <c r="H6" i="3"/>
  <c r="P15" i="1" s="1"/>
  <c r="L17" i="1"/>
  <c r="N17" i="1"/>
  <c r="P17" i="1"/>
  <c r="E10" i="3"/>
  <c r="J14" i="1"/>
  <c r="J16" i="1"/>
  <c r="J17" i="1"/>
  <c r="L19" i="1"/>
  <c r="N19" i="1"/>
  <c r="P19" i="1"/>
  <c r="L20" i="1"/>
  <c r="N20" i="1"/>
  <c r="P20" i="1"/>
  <c r="L21" i="1"/>
  <c r="N21" i="1"/>
  <c r="P21" i="1"/>
  <c r="L22" i="1"/>
  <c r="N22" i="1"/>
  <c r="P22" i="1"/>
  <c r="L23" i="1"/>
  <c r="N23" i="1"/>
  <c r="P23" i="1"/>
  <c r="J20" i="1"/>
  <c r="J21" i="1"/>
  <c r="J22" i="1"/>
  <c r="J23" i="1"/>
  <c r="J19" i="1"/>
  <c r="E10" i="5"/>
  <c r="F33" i="15" s="1"/>
  <c r="F35" i="15" s="1"/>
  <c r="F10" i="5"/>
  <c r="G33" i="15" s="1"/>
  <c r="G35" i="15" s="1"/>
  <c r="G10" i="5"/>
  <c r="H33" i="15" s="1"/>
  <c r="H35" i="15" s="1"/>
  <c r="I8" i="4"/>
  <c r="I7" i="4"/>
  <c r="I6" i="4"/>
  <c r="I5" i="4"/>
  <c r="I4" i="4"/>
  <c r="D8" i="4"/>
  <c r="D7" i="4"/>
  <c r="D6" i="4"/>
  <c r="D5" i="4"/>
  <c r="D4" i="4"/>
  <c r="I27" i="1"/>
  <c r="I26" i="1"/>
  <c r="I25" i="1"/>
  <c r="P29" i="1"/>
  <c r="N29" i="1"/>
  <c r="L29" i="1"/>
  <c r="J29" i="1"/>
  <c r="P28" i="1"/>
  <c r="N28" i="1"/>
  <c r="L28" i="1"/>
  <c r="J28" i="1"/>
  <c r="J23" i="22" l="1"/>
  <c r="J23" i="23"/>
  <c r="L21" i="22"/>
  <c r="L21" i="23"/>
  <c r="J22" i="22"/>
  <c r="J22" i="23"/>
  <c r="P30" i="22"/>
  <c r="P30" i="23"/>
  <c r="P23" i="22"/>
  <c r="P23" i="23"/>
  <c r="J31" i="22"/>
  <c r="J31" i="23"/>
  <c r="N23" i="22"/>
  <c r="N23" i="23"/>
  <c r="L31" i="22"/>
  <c r="L31" i="23"/>
  <c r="P25" i="22"/>
  <c r="P25" i="23"/>
  <c r="L23" i="22"/>
  <c r="L23" i="23"/>
  <c r="N31" i="22"/>
  <c r="N31" i="23"/>
  <c r="N25" i="22"/>
  <c r="N25" i="23"/>
  <c r="P22" i="22"/>
  <c r="P22" i="23"/>
  <c r="P31" i="22"/>
  <c r="P31" i="23"/>
  <c r="L25" i="22"/>
  <c r="L25" i="23"/>
  <c r="N22" i="22"/>
  <c r="N22" i="23"/>
  <c r="J30" i="22"/>
  <c r="J30" i="23"/>
  <c r="J21" i="22"/>
  <c r="J21" i="23"/>
  <c r="P24" i="22"/>
  <c r="P24" i="23"/>
  <c r="L22" i="22"/>
  <c r="L22" i="23"/>
  <c r="L30" i="22"/>
  <c r="L30" i="23"/>
  <c r="J25" i="22"/>
  <c r="J25" i="23"/>
  <c r="N24" i="22"/>
  <c r="N24" i="23"/>
  <c r="P21" i="22"/>
  <c r="P21" i="23"/>
  <c r="N30" i="22"/>
  <c r="N30" i="23"/>
  <c r="J24" i="22"/>
  <c r="J24" i="23"/>
  <c r="L24" i="22"/>
  <c r="L24" i="23"/>
  <c r="N21" i="22"/>
  <c r="N21" i="23"/>
  <c r="J18" i="22"/>
  <c r="J18" i="23"/>
  <c r="J16" i="22"/>
  <c r="J16" i="23"/>
  <c r="P16" i="22"/>
  <c r="P16" i="23"/>
  <c r="J19" i="22"/>
  <c r="J19" i="23"/>
  <c r="N16" i="22"/>
  <c r="N16" i="23"/>
  <c r="N19" i="22"/>
  <c r="N19" i="23"/>
  <c r="L17" i="22"/>
  <c r="L17" i="23"/>
  <c r="P19" i="22"/>
  <c r="P19" i="23"/>
  <c r="L19" i="22"/>
  <c r="L19" i="23"/>
  <c r="N17" i="22"/>
  <c r="N17" i="23"/>
  <c r="P17" i="22"/>
  <c r="P17" i="23"/>
  <c r="D27" i="1"/>
  <c r="D28" i="1"/>
  <c r="D29" i="1"/>
  <c r="D25" i="1"/>
  <c r="D26" i="1"/>
  <c r="I10" i="4"/>
  <c r="I24" i="1"/>
  <c r="G36" i="15"/>
  <c r="G42" i="15" s="1"/>
  <c r="F5" i="15" s="1"/>
  <c r="H36" i="15"/>
  <c r="H42" i="15" s="1"/>
  <c r="G5" i="15" s="1"/>
  <c r="F36" i="15"/>
  <c r="I36" i="15"/>
  <c r="I42" i="15" s="1"/>
  <c r="H5" i="15" s="1"/>
  <c r="J15" i="1"/>
  <c r="H10" i="3"/>
  <c r="G10" i="3"/>
  <c r="F10" i="3"/>
  <c r="L14" i="1"/>
  <c r="P18" i="1"/>
  <c r="E9" i="26" s="1"/>
  <c r="L18" i="1"/>
  <c r="C9" i="26" s="1"/>
  <c r="N18" i="1"/>
  <c r="D9" i="26" s="1"/>
  <c r="J18" i="1"/>
  <c r="B9" i="26" s="1"/>
  <c r="J47" i="1"/>
  <c r="L47" i="1"/>
  <c r="N47" i="1"/>
  <c r="P47" i="1"/>
  <c r="J48" i="1"/>
  <c r="L48" i="1"/>
  <c r="N48" i="1"/>
  <c r="P48" i="1"/>
  <c r="J49" i="1"/>
  <c r="L49" i="1"/>
  <c r="N49" i="1"/>
  <c r="P49" i="1"/>
  <c r="J50" i="1"/>
  <c r="L50" i="1"/>
  <c r="N50" i="1"/>
  <c r="P50" i="1"/>
  <c r="J51" i="1"/>
  <c r="L51" i="1"/>
  <c r="N51" i="1"/>
  <c r="P51" i="1"/>
  <c r="J52" i="1"/>
  <c r="N52" i="1"/>
  <c r="P52" i="1"/>
  <c r="J60" i="1"/>
  <c r="L60" i="1"/>
  <c r="P60" i="1"/>
  <c r="L62" i="1"/>
  <c r="N62" i="1"/>
  <c r="P62" i="1"/>
  <c r="P64" i="22" l="1"/>
  <c r="E71" i="26" s="1"/>
  <c r="P64" i="23"/>
  <c r="F85" i="26" s="1"/>
  <c r="N64" i="22"/>
  <c r="D71" i="26" s="1"/>
  <c r="N64" i="23"/>
  <c r="D85" i="26" s="1"/>
  <c r="L64" i="22"/>
  <c r="C71" i="26" s="1"/>
  <c r="L64" i="23"/>
  <c r="B85" i="26" s="1"/>
  <c r="J62" i="22"/>
  <c r="B69" i="26" s="1"/>
  <c r="J62" i="23"/>
  <c r="J54" i="22"/>
  <c r="J54" i="23"/>
  <c r="J50" i="22"/>
  <c r="J50" i="23"/>
  <c r="P51" i="22"/>
  <c r="P51" i="23"/>
  <c r="N54" i="22"/>
  <c r="N54" i="23"/>
  <c r="L52" i="22"/>
  <c r="L52" i="23"/>
  <c r="L50" i="22"/>
  <c r="L50" i="23"/>
  <c r="F42" i="15"/>
  <c r="E5" i="15" s="1"/>
  <c r="J52" i="22"/>
  <c r="J52" i="23"/>
  <c r="P53" i="22"/>
  <c r="P53" i="23"/>
  <c r="N53" i="22"/>
  <c r="N53" i="23"/>
  <c r="N49" i="22"/>
  <c r="N49" i="23"/>
  <c r="L53" i="22"/>
  <c r="L53" i="23"/>
  <c r="L51" i="22"/>
  <c r="L51" i="23"/>
  <c r="L49" i="22"/>
  <c r="L49" i="23"/>
  <c r="J53" i="22"/>
  <c r="J53" i="23"/>
  <c r="J51" i="22"/>
  <c r="J51" i="23"/>
  <c r="J49" i="22"/>
  <c r="J49" i="23"/>
  <c r="P50" i="22"/>
  <c r="P50" i="23"/>
  <c r="P49" i="22"/>
  <c r="P49" i="23"/>
  <c r="N51" i="22"/>
  <c r="N51" i="23"/>
  <c r="P52" i="22"/>
  <c r="P52" i="23"/>
  <c r="P54" i="22"/>
  <c r="P54" i="23"/>
  <c r="N52" i="22"/>
  <c r="N52" i="23"/>
  <c r="N50" i="22"/>
  <c r="N50" i="23"/>
  <c r="L16" i="22"/>
  <c r="L16" i="23"/>
  <c r="J17" i="22"/>
  <c r="J17" i="23"/>
  <c r="J20" i="23"/>
  <c r="J20" i="22"/>
  <c r="B25" i="26" s="1"/>
  <c r="N20" i="22"/>
  <c r="D25" i="26" s="1"/>
  <c r="N20" i="23"/>
  <c r="D41" i="26" s="1"/>
  <c r="L20" i="22"/>
  <c r="C25" i="26" s="1"/>
  <c r="L20" i="23"/>
  <c r="B41" i="26" s="1"/>
  <c r="P20" i="22"/>
  <c r="E25" i="26" s="1"/>
  <c r="P20" i="23"/>
  <c r="F41" i="26" s="1"/>
  <c r="N62" i="22"/>
  <c r="D69" i="26" s="1"/>
  <c r="N62" i="23"/>
  <c r="D83" i="26" s="1"/>
  <c r="L62" i="23"/>
  <c r="B83" i="26" s="1"/>
  <c r="L62" i="22"/>
  <c r="C69" i="26" s="1"/>
  <c r="P62" i="22"/>
  <c r="E69" i="26" s="1"/>
  <c r="P62" i="23"/>
  <c r="F83" i="26" s="1"/>
  <c r="L46" i="1"/>
  <c r="C13" i="26" s="1"/>
  <c r="J46" i="1"/>
  <c r="B13" i="26" s="1"/>
  <c r="P46" i="1"/>
  <c r="E13" i="26" s="1"/>
  <c r="N46" i="1"/>
  <c r="D13" i="26" s="1"/>
  <c r="B11" i="26"/>
  <c r="P13" i="1"/>
  <c r="P10" i="1"/>
  <c r="N10" i="1"/>
  <c r="L10" i="1"/>
  <c r="J10" i="1"/>
  <c r="L27" i="1"/>
  <c r="N27" i="1"/>
  <c r="P27" i="1"/>
  <c r="J27" i="1"/>
  <c r="L26" i="1"/>
  <c r="N26" i="1"/>
  <c r="P26" i="1"/>
  <c r="J26" i="1"/>
  <c r="J29" i="22" l="1"/>
  <c r="J29" i="23"/>
  <c r="L28" i="22"/>
  <c r="L28" i="23"/>
  <c r="P29" i="22"/>
  <c r="P29" i="23"/>
  <c r="N29" i="22"/>
  <c r="N29" i="23"/>
  <c r="L29" i="22"/>
  <c r="L29" i="23"/>
  <c r="J28" i="22"/>
  <c r="J28" i="23"/>
  <c r="P28" i="22"/>
  <c r="P28" i="23"/>
  <c r="N28" i="22"/>
  <c r="N28" i="23"/>
  <c r="P15" i="22"/>
  <c r="P15" i="23"/>
  <c r="N12" i="22"/>
  <c r="N12" i="23"/>
  <c r="P12" i="22"/>
  <c r="P12" i="23"/>
  <c r="L12" i="23"/>
  <c r="L12" i="22"/>
  <c r="J12" i="22"/>
  <c r="J12" i="23"/>
  <c r="J48" i="22"/>
  <c r="B29" i="26" s="1"/>
  <c r="J48" i="23"/>
  <c r="N48" i="22"/>
  <c r="D29" i="26" s="1"/>
  <c r="N48" i="23"/>
  <c r="D45" i="26" s="1"/>
  <c r="D98" i="26" s="1"/>
  <c r="P48" i="22"/>
  <c r="E29" i="26" s="1"/>
  <c r="P48" i="23"/>
  <c r="F45" i="26" s="1"/>
  <c r="F98" i="26" s="1"/>
  <c r="J32" i="23"/>
  <c r="J32" i="22"/>
  <c r="B27" i="26" s="1"/>
  <c r="L48" i="22"/>
  <c r="C29" i="26" s="1"/>
  <c r="L48" i="23"/>
  <c r="B45" i="26" s="1"/>
  <c r="B98" i="26" s="1"/>
  <c r="J25" i="1"/>
  <c r="E10" i="4"/>
  <c r="N25" i="1"/>
  <c r="G10" i="4"/>
  <c r="L25" i="1"/>
  <c r="F10" i="4"/>
  <c r="P25" i="1"/>
  <c r="H10" i="4"/>
  <c r="N24" i="1" l="1"/>
  <c r="D10" i="26" s="1"/>
  <c r="N27" i="22"/>
  <c r="N27" i="23"/>
  <c r="J24" i="1"/>
  <c r="J27" i="22"/>
  <c r="J27" i="23"/>
  <c r="P24" i="1"/>
  <c r="E10" i="26" s="1"/>
  <c r="P27" i="22"/>
  <c r="P27" i="23"/>
  <c r="L24" i="1"/>
  <c r="C10" i="26" s="1"/>
  <c r="L27" i="22"/>
  <c r="L27" i="23"/>
  <c r="N26" i="22"/>
  <c r="D26" i="26" s="1"/>
  <c r="N26" i="23"/>
  <c r="D42" i="26" s="1"/>
  <c r="J26" i="23"/>
  <c r="J26" i="22"/>
  <c r="B26" i="26" s="1"/>
  <c r="L55" i="22"/>
  <c r="C30" i="26" s="1"/>
  <c r="L55" i="23"/>
  <c r="B46" i="26" s="1"/>
  <c r="N8" i="1"/>
  <c r="J9" i="1"/>
  <c r="J11" i="23" s="1"/>
  <c r="J6" i="1"/>
  <c r="L26" i="23" l="1"/>
  <c r="B42" i="26" s="1"/>
  <c r="L26" i="22"/>
  <c r="C26" i="26" s="1"/>
  <c r="P26" i="23"/>
  <c r="F42" i="26" s="1"/>
  <c r="J45" i="1"/>
  <c r="B10" i="26"/>
  <c r="P26" i="22"/>
  <c r="E26" i="26" s="1"/>
  <c r="J8" i="22"/>
  <c r="J8" i="23"/>
  <c r="J11" i="22"/>
  <c r="N10" i="22"/>
  <c r="N10" i="23"/>
  <c r="J7" i="1"/>
  <c r="N7" i="1"/>
  <c r="L7" i="1"/>
  <c r="P8" i="1"/>
  <c r="J8" i="1"/>
  <c r="P6" i="1"/>
  <c r="N6" i="1"/>
  <c r="P7" i="1"/>
  <c r="L8" i="1"/>
  <c r="L6" i="1"/>
  <c r="P9" i="1"/>
  <c r="N9" i="1"/>
  <c r="L9" i="1"/>
  <c r="B12" i="26" l="1"/>
  <c r="J47" i="22"/>
  <c r="B28" i="26" s="1"/>
  <c r="J47" i="23"/>
  <c r="L8" i="22"/>
  <c r="L8" i="23"/>
  <c r="P8" i="22"/>
  <c r="P8" i="23"/>
  <c r="J9" i="22"/>
  <c r="J9" i="23"/>
  <c r="N8" i="22"/>
  <c r="N8" i="23"/>
  <c r="L11" i="22"/>
  <c r="L11" i="23"/>
  <c r="N11" i="22"/>
  <c r="N11" i="23"/>
  <c r="N9" i="22"/>
  <c r="N9" i="23"/>
  <c r="L10" i="23"/>
  <c r="L10" i="22"/>
  <c r="P9" i="22"/>
  <c r="P9" i="23"/>
  <c r="J10" i="23"/>
  <c r="J10" i="22"/>
  <c r="P10" i="22"/>
  <c r="P10" i="23"/>
  <c r="P11" i="22"/>
  <c r="P11" i="23"/>
  <c r="L9" i="22"/>
  <c r="L9" i="23"/>
  <c r="J5" i="1"/>
  <c r="J7" i="23" s="1"/>
  <c r="P5" i="1"/>
  <c r="L5" i="1"/>
  <c r="H6" i="11"/>
  <c r="G6" i="11"/>
  <c r="F6" i="11"/>
  <c r="E6" i="11"/>
  <c r="L7" i="23" l="1"/>
  <c r="L7" i="22"/>
  <c r="N7" i="22"/>
  <c r="N7" i="23"/>
  <c r="J7" i="22"/>
  <c r="P7" i="22"/>
  <c r="P7" i="23"/>
  <c r="J63" i="1"/>
  <c r="B59" i="26" s="1"/>
  <c r="J65" i="23" l="1"/>
  <c r="J65" i="22"/>
  <c r="B72" i="26" s="1"/>
  <c r="E11" i="26"/>
  <c r="C11" i="26"/>
  <c r="L45" i="1" l="1"/>
  <c r="C12" i="26" s="1"/>
  <c r="L32" i="22"/>
  <c r="C27" i="26" s="1"/>
  <c r="L32" i="23"/>
  <c r="B43" i="26" s="1"/>
  <c r="P45" i="1"/>
  <c r="E12" i="26" s="1"/>
  <c r="P32" i="22"/>
  <c r="E27" i="26" s="1"/>
  <c r="P32" i="23"/>
  <c r="F43" i="26" s="1"/>
  <c r="D11" i="26"/>
  <c r="P63" i="1"/>
  <c r="E59" i="26" s="1"/>
  <c r="L63" i="1"/>
  <c r="C59" i="26" s="1"/>
  <c r="N63" i="1"/>
  <c r="D59" i="26" s="1"/>
  <c r="P65" i="22" l="1"/>
  <c r="E72" i="26" s="1"/>
  <c r="P65" i="23"/>
  <c r="F86" i="26" s="1"/>
  <c r="N65" i="22"/>
  <c r="D72" i="26" s="1"/>
  <c r="N65" i="23"/>
  <c r="D86" i="26" s="1"/>
  <c r="N32" i="22"/>
  <c r="D27" i="26" s="1"/>
  <c r="N32" i="23"/>
  <c r="D43" i="26" s="1"/>
  <c r="P47" i="22"/>
  <c r="E28" i="26" s="1"/>
  <c r="P47" i="23"/>
  <c r="F44" i="26" s="1"/>
  <c r="L65" i="22"/>
  <c r="C72" i="26" s="1"/>
  <c r="L65" i="23"/>
  <c r="B86" i="26" s="1"/>
  <c r="L47" i="22"/>
  <c r="C28" i="26" s="1"/>
  <c r="L47" i="23"/>
  <c r="B44" i="26" s="1"/>
  <c r="N45" i="1"/>
  <c r="D12" i="26" s="1"/>
  <c r="I56" i="1"/>
  <c r="L13" i="1"/>
  <c r="J13" i="1"/>
  <c r="B95" i="26" l="1"/>
  <c r="F95" i="26"/>
  <c r="J15" i="22"/>
  <c r="J15" i="23"/>
  <c r="L15" i="22"/>
  <c r="L15" i="23"/>
  <c r="N47" i="22"/>
  <c r="D28" i="26" s="1"/>
  <c r="N47" i="23"/>
  <c r="D44" i="26" s="1"/>
  <c r="J12" i="1"/>
  <c r="B8" i="26" s="1"/>
  <c r="J54" i="1"/>
  <c r="B15" i="26" s="1"/>
  <c r="D95" i="26" l="1"/>
  <c r="E4" i="11"/>
  <c r="J59" i="1" s="1"/>
  <c r="B55" i="26" s="1"/>
  <c r="B61" i="26" s="1"/>
  <c r="J14" i="22"/>
  <c r="B24" i="26" s="1"/>
  <c r="J14" i="23"/>
  <c r="J56" i="23"/>
  <c r="J56" i="22"/>
  <c r="B31" i="26" s="1"/>
  <c r="F62" i="2"/>
  <c r="F65" i="2" s="1"/>
  <c r="E10" i="2" s="1"/>
  <c r="J11" i="1" s="1"/>
  <c r="J4" i="1" s="1"/>
  <c r="J56" i="1" s="1"/>
  <c r="H54" i="13"/>
  <c r="F54" i="13"/>
  <c r="H53" i="13"/>
  <c r="H52" i="13"/>
  <c r="F52" i="13"/>
  <c r="H51" i="13"/>
  <c r="F51" i="13"/>
  <c r="F50" i="13"/>
  <c r="F49" i="13"/>
  <c r="F48" i="13"/>
  <c r="F47" i="13"/>
  <c r="F46" i="13"/>
  <c r="F45" i="13"/>
  <c r="F44" i="13"/>
  <c r="F43" i="13"/>
  <c r="F42" i="13"/>
  <c r="F41" i="13"/>
  <c r="H40" i="13"/>
  <c r="F40" i="13"/>
  <c r="F39" i="13"/>
  <c r="H38" i="13"/>
  <c r="F38" i="13"/>
  <c r="H37" i="13"/>
  <c r="F37" i="13"/>
  <c r="F36" i="13"/>
  <c r="F35" i="13"/>
  <c r="H34" i="13"/>
  <c r="F34" i="13"/>
  <c r="H33" i="13"/>
  <c r="F33" i="13"/>
  <c r="H32" i="13"/>
  <c r="F32" i="13"/>
  <c r="H31" i="13"/>
  <c r="F31" i="13"/>
  <c r="H30" i="13"/>
  <c r="F30" i="13"/>
  <c r="F29" i="13"/>
  <c r="F28" i="13"/>
  <c r="F27" i="13"/>
  <c r="F26" i="13"/>
  <c r="F25" i="13"/>
  <c r="J61" i="23" l="1"/>
  <c r="J61" i="22"/>
  <c r="B68" i="26" s="1"/>
  <c r="J13" i="22"/>
  <c r="J13" i="23"/>
  <c r="B7" i="26"/>
  <c r="B16" i="26" s="1"/>
  <c r="F55" i="13"/>
  <c r="F56" i="13" s="1"/>
  <c r="D59" i="13" s="1"/>
  <c r="H55" i="13"/>
  <c r="D25" i="16"/>
  <c r="D27" i="16" s="1"/>
  <c r="D28" i="16" s="1"/>
  <c r="D31" i="16" s="1"/>
  <c r="E4" i="16" s="1"/>
  <c r="O16" i="14"/>
  <c r="O15" i="14"/>
  <c r="O14" i="14"/>
  <c r="O13" i="14"/>
  <c r="J6" i="23" l="1"/>
  <c r="K4" i="1"/>
  <c r="J6" i="22"/>
  <c r="B23" i="26" s="1"/>
  <c r="B32" i="26" s="1"/>
  <c r="J64" i="1"/>
  <c r="H4" i="16"/>
  <c r="G4" i="16"/>
  <c r="F4" i="16"/>
  <c r="H56" i="13"/>
  <c r="D60" i="13" s="1"/>
  <c r="D62" i="13" s="1"/>
  <c r="J66" i="23" l="1"/>
  <c r="J66" i="22"/>
  <c r="B73" i="26" s="1"/>
  <c r="K64" i="1"/>
  <c r="K10" i="1"/>
  <c r="K9" i="1"/>
  <c r="K5" i="1"/>
  <c r="K23" i="1"/>
  <c r="K30" i="1"/>
  <c r="K12" i="1"/>
  <c r="K25" i="1"/>
  <c r="J58" i="22"/>
  <c r="K6" i="22" s="1"/>
  <c r="K53" i="1"/>
  <c r="K40" i="1"/>
  <c r="K21" i="1"/>
  <c r="K50" i="1"/>
  <c r="K26" i="1"/>
  <c r="K19" i="1"/>
  <c r="K8" i="1"/>
  <c r="K15" i="1"/>
  <c r="K41" i="1"/>
  <c r="K48" i="1"/>
  <c r="K37" i="1"/>
  <c r="K42" i="1"/>
  <c r="K62" i="1"/>
  <c r="K46" i="1"/>
  <c r="K35" i="1"/>
  <c r="K28" i="1"/>
  <c r="K34" i="1"/>
  <c r="K45" i="1"/>
  <c r="J58" i="23"/>
  <c r="K24" i="1"/>
  <c r="K47" i="1"/>
  <c r="K6" i="1"/>
  <c r="K32" i="1"/>
  <c r="K14" i="1"/>
  <c r="K29" i="1"/>
  <c r="K31" i="1"/>
  <c r="K22" i="1"/>
  <c r="K11" i="1"/>
  <c r="K16" i="1"/>
  <c r="K63" i="1"/>
  <c r="K49" i="1"/>
  <c r="K7" i="1"/>
  <c r="K44" i="1"/>
  <c r="K13" i="1"/>
  <c r="K43" i="1"/>
  <c r="K17" i="1"/>
  <c r="K18" i="1"/>
  <c r="K60" i="1"/>
  <c r="K36" i="1"/>
  <c r="K27" i="1"/>
  <c r="K33" i="1"/>
  <c r="K38" i="1"/>
  <c r="K39" i="1"/>
  <c r="K51" i="1"/>
  <c r="K20" i="1"/>
  <c r="K59" i="1"/>
  <c r="K54" i="1"/>
  <c r="K52" i="1"/>
  <c r="L64" i="1"/>
  <c r="N64" i="1"/>
  <c r="P64" i="1"/>
  <c r="D84" i="13"/>
  <c r="D85" i="13" s="1"/>
  <c r="D92" i="13"/>
  <c r="P66" i="22" l="1"/>
  <c r="E73" i="26" s="1"/>
  <c r="P66" i="23"/>
  <c r="F87" i="26" s="1"/>
  <c r="N66" i="22"/>
  <c r="D73" i="26" s="1"/>
  <c r="N66" i="23"/>
  <c r="D87" i="26" s="1"/>
  <c r="L66" i="22"/>
  <c r="C73" i="26" s="1"/>
  <c r="L66" i="23"/>
  <c r="B87" i="26" s="1"/>
  <c r="K41" i="22"/>
  <c r="K61" i="22"/>
  <c r="K45" i="22"/>
  <c r="K52" i="22"/>
  <c r="K38" i="22"/>
  <c r="K65" i="22"/>
  <c r="K26" i="22"/>
  <c r="K47" i="22"/>
  <c r="K30" i="22"/>
  <c r="K49" i="22"/>
  <c r="K62" i="22"/>
  <c r="K64" i="22"/>
  <c r="K55" i="22"/>
  <c r="K21" i="22"/>
  <c r="K50" i="22"/>
  <c r="K23" i="22"/>
  <c r="K32" i="22"/>
  <c r="K12" i="22"/>
  <c r="K35" i="22"/>
  <c r="K20" i="22"/>
  <c r="K44" i="22"/>
  <c r="K43" i="22"/>
  <c r="K17" i="22"/>
  <c r="K51" i="22"/>
  <c r="K25" i="22"/>
  <c r="K13" i="22"/>
  <c r="K15" i="22"/>
  <c r="K40" i="22"/>
  <c r="K18" i="22"/>
  <c r="K34" i="22"/>
  <c r="K31" i="22"/>
  <c r="K46" i="22"/>
  <c r="K56" i="22"/>
  <c r="K14" i="22"/>
  <c r="K58" i="22"/>
  <c r="K29" i="22"/>
  <c r="K22" i="22"/>
  <c r="K10" i="22"/>
  <c r="K24" i="22"/>
  <c r="K66" i="22"/>
  <c r="K37" i="22"/>
  <c r="K54" i="22"/>
  <c r="K27" i="22"/>
  <c r="K9" i="22"/>
  <c r="K8" i="22"/>
  <c r="K42" i="22"/>
  <c r="K28" i="22"/>
  <c r="K48" i="22"/>
  <c r="K7" i="22"/>
  <c r="K36" i="22"/>
  <c r="K39" i="22"/>
  <c r="K33" i="22"/>
  <c r="K53" i="22"/>
  <c r="K19" i="22"/>
  <c r="K55" i="23"/>
  <c r="K66" i="23"/>
  <c r="K31" i="23"/>
  <c r="K64" i="23"/>
  <c r="K10" i="23"/>
  <c r="K33" i="23"/>
  <c r="K32" i="23"/>
  <c r="K46" i="23"/>
  <c r="K16" i="23"/>
  <c r="K52" i="23"/>
  <c r="K37" i="23"/>
  <c r="K6" i="23"/>
  <c r="K21" i="23"/>
  <c r="K14" i="23"/>
  <c r="K18" i="23"/>
  <c r="K42" i="23"/>
  <c r="K19" i="23"/>
  <c r="K22" i="23"/>
  <c r="K27" i="23"/>
  <c r="K30" i="23"/>
  <c r="K25" i="23"/>
  <c r="K11" i="23"/>
  <c r="K39" i="23"/>
  <c r="K47" i="23"/>
  <c r="K56" i="23"/>
  <c r="K24" i="23"/>
  <c r="K62" i="23"/>
  <c r="K65" i="23"/>
  <c r="K49" i="23"/>
  <c r="K40" i="23"/>
  <c r="K58" i="23"/>
  <c r="K20" i="23"/>
  <c r="K61" i="23"/>
  <c r="K54" i="23"/>
  <c r="K28" i="23"/>
  <c r="K43" i="23"/>
  <c r="K23" i="23"/>
  <c r="K12" i="23"/>
  <c r="K8" i="23"/>
  <c r="K51" i="23"/>
  <c r="K35" i="23"/>
  <c r="K44" i="23"/>
  <c r="K26" i="23"/>
  <c r="K53" i="23"/>
  <c r="K15" i="23"/>
  <c r="K50" i="23"/>
  <c r="K41" i="23"/>
  <c r="K34" i="23"/>
  <c r="K9" i="23"/>
  <c r="K45" i="23"/>
  <c r="K13" i="23"/>
  <c r="K17" i="23"/>
  <c r="K48" i="23"/>
  <c r="K36" i="23"/>
  <c r="K7" i="23"/>
  <c r="K29" i="23"/>
  <c r="K38" i="23"/>
  <c r="K16" i="22"/>
  <c r="K11" i="22"/>
  <c r="G92" i="13"/>
  <c r="G95" i="13" s="1"/>
  <c r="H9" i="13" s="1"/>
  <c r="F92" i="13"/>
  <c r="F95" i="13" s="1"/>
  <c r="G9" i="13" s="1"/>
  <c r="E92" i="13"/>
  <c r="E95" i="13" s="1"/>
  <c r="F9" i="13" s="1"/>
  <c r="D95" i="13"/>
  <c r="E9" i="13" s="1"/>
  <c r="L16" i="1"/>
  <c r="L18" i="22" l="1"/>
  <c r="L18" i="23"/>
  <c r="J61" i="1"/>
  <c r="J58" i="1" s="1"/>
  <c r="L61" i="1"/>
  <c r="K61" i="1"/>
  <c r="K66" i="1" s="1"/>
  <c r="N61" i="1"/>
  <c r="P61" i="1"/>
  <c r="L12" i="1"/>
  <c r="C8" i="26" s="1"/>
  <c r="N13" i="1"/>
  <c r="J66" i="1" l="1"/>
  <c r="J68" i="23" s="1"/>
  <c r="J60" i="23"/>
  <c r="J60" i="22"/>
  <c r="N15" i="22"/>
  <c r="N15" i="23"/>
  <c r="G62" i="2"/>
  <c r="G65" i="2" s="1"/>
  <c r="F10" i="2" s="1"/>
  <c r="L11" i="1" s="1"/>
  <c r="L14" i="22"/>
  <c r="C24" i="26" s="1"/>
  <c r="L14" i="23"/>
  <c r="B40" i="26" s="1"/>
  <c r="B96" i="26" s="1"/>
  <c r="P63" i="22"/>
  <c r="E70" i="26" s="1"/>
  <c r="P63" i="23"/>
  <c r="F84" i="26" s="1"/>
  <c r="N63" i="22"/>
  <c r="D70" i="26" s="1"/>
  <c r="N63" i="23"/>
  <c r="D84" i="26" s="1"/>
  <c r="L63" i="22"/>
  <c r="C70" i="26" s="1"/>
  <c r="L63" i="23"/>
  <c r="B84" i="26" s="1"/>
  <c r="K58" i="1"/>
  <c r="J63" i="22"/>
  <c r="B70" i="26" s="1"/>
  <c r="B74" i="26" s="1"/>
  <c r="J63" i="23"/>
  <c r="K63" i="23" s="1"/>
  <c r="K68" i="23" s="1"/>
  <c r="L54" i="1"/>
  <c r="C15" i="26" s="1"/>
  <c r="F4" i="11"/>
  <c r="N12" i="1"/>
  <c r="D8" i="26" s="1"/>
  <c r="J68" i="22" l="1"/>
  <c r="K63" i="22"/>
  <c r="K68" i="22" s="1"/>
  <c r="N14" i="22"/>
  <c r="D24" i="26" s="1"/>
  <c r="N14" i="23"/>
  <c r="D40" i="26" s="1"/>
  <c r="D96" i="26" s="1"/>
  <c r="K60" i="23"/>
  <c r="K60" i="22"/>
  <c r="L56" i="22"/>
  <c r="C31" i="26" s="1"/>
  <c r="L56" i="23"/>
  <c r="B47" i="26" s="1"/>
  <c r="L4" i="1"/>
  <c r="C7" i="26" s="1"/>
  <c r="C16" i="26" s="1"/>
  <c r="L13" i="22"/>
  <c r="L13" i="23"/>
  <c r="H62" i="2"/>
  <c r="H65" i="2" s="1"/>
  <c r="G10" i="2" s="1"/>
  <c r="L59" i="1"/>
  <c r="C55" i="26" s="1"/>
  <c r="C61" i="26" s="1"/>
  <c r="N54" i="1"/>
  <c r="G4" i="11"/>
  <c r="P16" i="1"/>
  <c r="B99" i="26" l="1"/>
  <c r="N56" i="22"/>
  <c r="D31" i="26" s="1"/>
  <c r="D15" i="26"/>
  <c r="L56" i="1"/>
  <c r="M45" i="1" s="1"/>
  <c r="P18" i="22"/>
  <c r="P18" i="23"/>
  <c r="N56" i="23"/>
  <c r="D47" i="26" s="1"/>
  <c r="L6" i="22"/>
  <c r="C23" i="26" s="1"/>
  <c r="C32" i="26" s="1"/>
  <c r="L6" i="23"/>
  <c r="B39" i="26" s="1"/>
  <c r="L61" i="22"/>
  <c r="C68" i="26" s="1"/>
  <c r="C74" i="26" s="1"/>
  <c r="L61" i="23"/>
  <c r="B82" i="26" s="1"/>
  <c r="N11" i="1"/>
  <c r="L66" i="1"/>
  <c r="N59" i="1"/>
  <c r="D55" i="26" s="1"/>
  <c r="D61" i="26" s="1"/>
  <c r="L58" i="1"/>
  <c r="P12" i="1"/>
  <c r="M18" i="1" l="1"/>
  <c r="M28" i="1"/>
  <c r="M19" i="1"/>
  <c r="M5" i="1"/>
  <c r="M8" i="1"/>
  <c r="M42" i="1"/>
  <c r="B97" i="26"/>
  <c r="M35" i="1"/>
  <c r="M50" i="1"/>
  <c r="M61" i="1"/>
  <c r="M36" i="1"/>
  <c r="L58" i="23"/>
  <c r="M6" i="23" s="1"/>
  <c r="B88" i="26"/>
  <c r="M7" i="1"/>
  <c r="D99" i="26"/>
  <c r="M33" i="1"/>
  <c r="M59" i="1"/>
  <c r="M29" i="1"/>
  <c r="M11" i="1"/>
  <c r="M64" i="1"/>
  <c r="M25" i="1"/>
  <c r="M47" i="1"/>
  <c r="M51" i="1"/>
  <c r="M60" i="1"/>
  <c r="M31" i="1"/>
  <c r="M23" i="1"/>
  <c r="M15" i="1"/>
  <c r="M48" i="1"/>
  <c r="M26" i="1"/>
  <c r="M40" i="1"/>
  <c r="M21" i="1"/>
  <c r="P54" i="1"/>
  <c r="E15" i="26" s="1"/>
  <c r="E8" i="26"/>
  <c r="M10" i="1"/>
  <c r="M32" i="1"/>
  <c r="M54" i="1"/>
  <c r="M39" i="1"/>
  <c r="M27" i="1"/>
  <c r="M44" i="1"/>
  <c r="M17" i="1"/>
  <c r="M12" i="1"/>
  <c r="M30" i="1"/>
  <c r="M13" i="1"/>
  <c r="M49" i="1"/>
  <c r="M14" i="1"/>
  <c r="M53" i="1"/>
  <c r="M52" i="1"/>
  <c r="L58" i="22"/>
  <c r="M56" i="22" s="1"/>
  <c r="M24" i="1"/>
  <c r="M46" i="1"/>
  <c r="M37" i="1"/>
  <c r="M20" i="1"/>
  <c r="M43" i="1"/>
  <c r="M9" i="1"/>
  <c r="M62" i="1"/>
  <c r="B48" i="26"/>
  <c r="M41" i="1"/>
  <c r="M6" i="1"/>
  <c r="M4" i="1"/>
  <c r="M63" i="1"/>
  <c r="M22" i="1"/>
  <c r="M34" i="1"/>
  <c r="M16" i="1"/>
  <c r="M38" i="1"/>
  <c r="P14" i="22"/>
  <c r="E24" i="26" s="1"/>
  <c r="P14" i="23"/>
  <c r="F40" i="26" s="1"/>
  <c r="F96" i="26" s="1"/>
  <c r="N4" i="1"/>
  <c r="D7" i="26" s="1"/>
  <c r="D16" i="26" s="1"/>
  <c r="N13" i="22"/>
  <c r="N13" i="23"/>
  <c r="N58" i="1"/>
  <c r="N60" i="23" s="1"/>
  <c r="N61" i="22"/>
  <c r="D68" i="26" s="1"/>
  <c r="D74" i="26" s="1"/>
  <c r="N61" i="23"/>
  <c r="D82" i="26" s="1"/>
  <c r="M58" i="1"/>
  <c r="L60" i="22"/>
  <c r="L60" i="23"/>
  <c r="M43" i="23"/>
  <c r="L68" i="22"/>
  <c r="L68" i="23"/>
  <c r="N66" i="1"/>
  <c r="I62" i="2"/>
  <c r="I65" i="2" s="1"/>
  <c r="H10" i="2" s="1"/>
  <c r="H4" i="11"/>
  <c r="M39" i="23" l="1"/>
  <c r="M22" i="23"/>
  <c r="M13" i="23"/>
  <c r="M21" i="23"/>
  <c r="M50" i="23"/>
  <c r="M61" i="23"/>
  <c r="M28" i="23"/>
  <c r="M64" i="23"/>
  <c r="M14" i="22"/>
  <c r="M62" i="23"/>
  <c r="M18" i="23"/>
  <c r="M47" i="23"/>
  <c r="C42" i="26"/>
  <c r="C46" i="26"/>
  <c r="C40" i="26"/>
  <c r="C41" i="26"/>
  <c r="C45" i="26"/>
  <c r="C43" i="26"/>
  <c r="C44" i="26"/>
  <c r="C47" i="26"/>
  <c r="M28" i="22"/>
  <c r="M27" i="23"/>
  <c r="M7" i="23"/>
  <c r="M31" i="23"/>
  <c r="M32" i="23"/>
  <c r="M33" i="23"/>
  <c r="M16" i="23"/>
  <c r="M54" i="23"/>
  <c r="M10" i="23"/>
  <c r="M26" i="23"/>
  <c r="M9" i="23"/>
  <c r="M41" i="23"/>
  <c r="M29" i="23"/>
  <c r="M52" i="23"/>
  <c r="M60" i="23"/>
  <c r="M15" i="23"/>
  <c r="M66" i="23"/>
  <c r="M23" i="23"/>
  <c r="M37" i="23"/>
  <c r="D88" i="26"/>
  <c r="M8" i="23"/>
  <c r="M44" i="23"/>
  <c r="M56" i="23"/>
  <c r="M38" i="23"/>
  <c r="M14" i="23"/>
  <c r="M55" i="23"/>
  <c r="M51" i="23"/>
  <c r="M19" i="23"/>
  <c r="C83" i="26"/>
  <c r="C84" i="26"/>
  <c r="C85" i="26"/>
  <c r="B100" i="26"/>
  <c r="C87" i="26"/>
  <c r="C86" i="26"/>
  <c r="C39" i="26"/>
  <c r="M40" i="23"/>
  <c r="M25" i="23"/>
  <c r="M12" i="23"/>
  <c r="M20" i="23"/>
  <c r="M58" i="23"/>
  <c r="M53" i="23"/>
  <c r="M65" i="23"/>
  <c r="M45" i="23"/>
  <c r="M11" i="23"/>
  <c r="M17" i="23"/>
  <c r="M35" i="23"/>
  <c r="M30" i="23"/>
  <c r="M63" i="23"/>
  <c r="M48" i="23"/>
  <c r="M42" i="23"/>
  <c r="M46" i="23"/>
  <c r="M24" i="23"/>
  <c r="M49" i="23"/>
  <c r="M34" i="23"/>
  <c r="M36" i="23"/>
  <c r="C82" i="26"/>
  <c r="M66" i="22"/>
  <c r="M23" i="22"/>
  <c r="M47" i="22"/>
  <c r="M66" i="1"/>
  <c r="M55" i="22"/>
  <c r="M33" i="22"/>
  <c r="M24" i="22"/>
  <c r="M25" i="22"/>
  <c r="M41" i="22"/>
  <c r="M32" i="22"/>
  <c r="M58" i="22"/>
  <c r="M30" i="22"/>
  <c r="M18" i="22"/>
  <c r="M26" i="22"/>
  <c r="M38" i="22"/>
  <c r="M35" i="22"/>
  <c r="M22" i="22"/>
  <c r="M46" i="22"/>
  <c r="M37" i="22"/>
  <c r="M52" i="22"/>
  <c r="M60" i="22"/>
  <c r="M17" i="22"/>
  <c r="M45" i="22"/>
  <c r="M21" i="22"/>
  <c r="M63" i="22"/>
  <c r="M31" i="22"/>
  <c r="M12" i="22"/>
  <c r="M48" i="22"/>
  <c r="M27" i="22"/>
  <c r="M43" i="22"/>
  <c r="M65" i="22"/>
  <c r="M15" i="22"/>
  <c r="M16" i="22"/>
  <c r="M40" i="22"/>
  <c r="M36" i="22"/>
  <c r="M64" i="22"/>
  <c r="M50" i="22"/>
  <c r="M42" i="22"/>
  <c r="M9" i="22"/>
  <c r="M39" i="22"/>
  <c r="M53" i="22"/>
  <c r="M6" i="22"/>
  <c r="M62" i="22"/>
  <c r="M49" i="22"/>
  <c r="M11" i="22"/>
  <c r="M29" i="22"/>
  <c r="M19" i="22"/>
  <c r="M20" i="22"/>
  <c r="M54" i="22"/>
  <c r="M61" i="22"/>
  <c r="M13" i="22"/>
  <c r="M44" i="22"/>
  <c r="M34" i="22"/>
  <c r="M7" i="22"/>
  <c r="M51" i="22"/>
  <c r="M8" i="22"/>
  <c r="M10" i="22"/>
  <c r="N56" i="1"/>
  <c r="O59" i="1" s="1"/>
  <c r="N60" i="22"/>
  <c r="P56" i="22"/>
  <c r="E31" i="26" s="1"/>
  <c r="P56" i="23"/>
  <c r="F47" i="26" s="1"/>
  <c r="N6" i="22"/>
  <c r="D23" i="26" s="1"/>
  <c r="D32" i="26" s="1"/>
  <c r="N6" i="23"/>
  <c r="D39" i="26" s="1"/>
  <c r="N68" i="22"/>
  <c r="N68" i="23"/>
  <c r="P59" i="1"/>
  <c r="E55" i="26" s="1"/>
  <c r="E61" i="26" s="1"/>
  <c r="P11" i="1"/>
  <c r="O20" i="1" l="1"/>
  <c r="O44" i="1"/>
  <c r="M68" i="23"/>
  <c r="F99" i="26"/>
  <c r="E87" i="26"/>
  <c r="D100" i="26"/>
  <c r="E84" i="26"/>
  <c r="E85" i="26"/>
  <c r="E83" i="26"/>
  <c r="E86" i="26"/>
  <c r="D97" i="26"/>
  <c r="E82" i="26"/>
  <c r="B101" i="26"/>
  <c r="O62" i="1"/>
  <c r="O7" i="1"/>
  <c r="O38" i="1"/>
  <c r="O52" i="1"/>
  <c r="O27" i="1"/>
  <c r="O26" i="1"/>
  <c r="O13" i="1"/>
  <c r="O21" i="1"/>
  <c r="O25" i="1"/>
  <c r="O33" i="1"/>
  <c r="O60" i="1"/>
  <c r="M68" i="22"/>
  <c r="O11" i="1"/>
  <c r="O51" i="1"/>
  <c r="O19" i="1"/>
  <c r="O5" i="1"/>
  <c r="O10" i="1"/>
  <c r="O12" i="1"/>
  <c r="O23" i="1"/>
  <c r="O58" i="1"/>
  <c r="O9" i="1"/>
  <c r="O40" i="1"/>
  <c r="O41" i="1"/>
  <c r="O50" i="1"/>
  <c r="O35" i="1"/>
  <c r="O4" i="1"/>
  <c r="O48" i="1"/>
  <c r="O14" i="1"/>
  <c r="O18" i="1"/>
  <c r="O36" i="1"/>
  <c r="D48" i="26"/>
  <c r="E39" i="26" s="1"/>
  <c r="O46" i="1"/>
  <c r="O28" i="1"/>
  <c r="O32" i="1"/>
  <c r="O24" i="1"/>
  <c r="O22" i="1"/>
  <c r="O64" i="1"/>
  <c r="O6" i="1"/>
  <c r="O54" i="1"/>
  <c r="O45" i="1"/>
  <c r="O43" i="1"/>
  <c r="O53" i="1"/>
  <c r="O34" i="1"/>
  <c r="O39" i="1"/>
  <c r="O17" i="1"/>
  <c r="O42" i="1"/>
  <c r="O63" i="1"/>
  <c r="O15" i="1"/>
  <c r="O8" i="1"/>
  <c r="N58" i="22"/>
  <c r="O10" i="22" s="1"/>
  <c r="N58" i="23"/>
  <c r="O58" i="23" s="1"/>
  <c r="O49" i="1"/>
  <c r="O16" i="1"/>
  <c r="O47" i="1"/>
  <c r="O31" i="1"/>
  <c r="O30" i="1"/>
  <c r="O61" i="1"/>
  <c r="O29" i="1"/>
  <c r="O37" i="1"/>
  <c r="P4" i="1"/>
  <c r="E7" i="26" s="1"/>
  <c r="E16" i="26" s="1"/>
  <c r="P13" i="22"/>
  <c r="P13" i="23"/>
  <c r="P66" i="1"/>
  <c r="P68" i="22" s="1"/>
  <c r="P61" i="22"/>
  <c r="E68" i="26" s="1"/>
  <c r="E74" i="26" s="1"/>
  <c r="P61" i="23"/>
  <c r="F82" i="26" s="1"/>
  <c r="P58" i="1"/>
  <c r="O38" i="23" l="1"/>
  <c r="C96" i="26"/>
  <c r="C98" i="26"/>
  <c r="C95" i="26"/>
  <c r="C99" i="26"/>
  <c r="C97" i="26"/>
  <c r="O40" i="22"/>
  <c r="E42" i="26"/>
  <c r="E41" i="26"/>
  <c r="E40" i="26"/>
  <c r="E46" i="26"/>
  <c r="E45" i="26"/>
  <c r="E43" i="26"/>
  <c r="E44" i="26"/>
  <c r="E47" i="26"/>
  <c r="F88" i="26"/>
  <c r="G82" i="26" s="1"/>
  <c r="O62" i="23"/>
  <c r="D101" i="26"/>
  <c r="O14" i="23"/>
  <c r="C100" i="26"/>
  <c r="O46" i="23"/>
  <c r="O44" i="22"/>
  <c r="O64" i="22"/>
  <c r="O17" i="22"/>
  <c r="O8" i="22"/>
  <c r="O36" i="22"/>
  <c r="O33" i="22"/>
  <c r="O54" i="22"/>
  <c r="O39" i="22"/>
  <c r="O16" i="22"/>
  <c r="O65" i="22"/>
  <c r="O55" i="23"/>
  <c r="O6" i="22"/>
  <c r="O49" i="23"/>
  <c r="O45" i="22"/>
  <c r="O13" i="22"/>
  <c r="O17" i="23"/>
  <c r="O62" i="22"/>
  <c r="O11" i="22"/>
  <c r="O51" i="23"/>
  <c r="O28" i="22"/>
  <c r="O27" i="22"/>
  <c r="O35" i="23"/>
  <c r="O23" i="23"/>
  <c r="O12" i="22"/>
  <c r="O52" i="23"/>
  <c r="O44" i="23"/>
  <c r="O41" i="22"/>
  <c r="O43" i="23"/>
  <c r="O56" i="22"/>
  <c r="O31" i="23"/>
  <c r="O65" i="23"/>
  <c r="O37" i="22"/>
  <c r="O24" i="22"/>
  <c r="O60" i="23"/>
  <c r="O7" i="23"/>
  <c r="O66" i="22"/>
  <c r="O23" i="22"/>
  <c r="O47" i="22"/>
  <c r="O15" i="22"/>
  <c r="O60" i="22"/>
  <c r="O11" i="23"/>
  <c r="O52" i="22"/>
  <c r="O14" i="22"/>
  <c r="O32" i="22"/>
  <c r="O66" i="1"/>
  <c r="O18" i="23"/>
  <c r="O6" i="23"/>
  <c r="O20" i="23"/>
  <c r="O22" i="23"/>
  <c r="O12" i="23"/>
  <c r="O32" i="23"/>
  <c r="O28" i="23"/>
  <c r="O15" i="23"/>
  <c r="O45" i="23"/>
  <c r="O25" i="22"/>
  <c r="O25" i="23"/>
  <c r="O58" i="22"/>
  <c r="O19" i="22"/>
  <c r="O8" i="23"/>
  <c r="O66" i="23"/>
  <c r="O41" i="23"/>
  <c r="O13" i="23"/>
  <c r="O26" i="23"/>
  <c r="O42" i="23"/>
  <c r="O61" i="22"/>
  <c r="O48" i="23"/>
  <c r="O63" i="22"/>
  <c r="O35" i="22"/>
  <c r="O64" i="23"/>
  <c r="O21" i="23"/>
  <c r="O40" i="23"/>
  <c r="O30" i="22"/>
  <c r="O46" i="22"/>
  <c r="O19" i="23"/>
  <c r="O24" i="23"/>
  <c r="O61" i="23"/>
  <c r="O54" i="23"/>
  <c r="O33" i="23"/>
  <c r="O51" i="22"/>
  <c r="O55" i="22"/>
  <c r="O30" i="23"/>
  <c r="O49" i="22"/>
  <c r="O29" i="22"/>
  <c r="O16" i="23"/>
  <c r="O20" i="22"/>
  <c r="O50" i="23"/>
  <c r="O50" i="22"/>
  <c r="O9" i="22"/>
  <c r="O36" i="23"/>
  <c r="O63" i="23"/>
  <c r="O10" i="23"/>
  <c r="O9" i="23"/>
  <c r="O18" i="22"/>
  <c r="O53" i="22"/>
  <c r="O38" i="22"/>
  <c r="O22" i="22"/>
  <c r="O7" i="22"/>
  <c r="O21" i="22"/>
  <c r="O34" i="23"/>
  <c r="O31" i="22"/>
  <c r="O37" i="23"/>
  <c r="O34" i="22"/>
  <c r="O26" i="22"/>
  <c r="O47" i="23"/>
  <c r="O29" i="23"/>
  <c r="O53" i="23"/>
  <c r="O48" i="22"/>
  <c r="O42" i="22"/>
  <c r="O39" i="23"/>
  <c r="O43" i="22"/>
  <c r="O27" i="23"/>
  <c r="O56" i="23"/>
  <c r="P56" i="1"/>
  <c r="Q45" i="1" s="1"/>
  <c r="P68" i="23"/>
  <c r="P6" i="22"/>
  <c r="E23" i="26" s="1"/>
  <c r="E32" i="26" s="1"/>
  <c r="P6" i="23"/>
  <c r="F39" i="26" s="1"/>
  <c r="P60" i="22"/>
  <c r="P60" i="23"/>
  <c r="Q18" i="1" l="1"/>
  <c r="Q11" i="1"/>
  <c r="F97" i="26"/>
  <c r="E98" i="26"/>
  <c r="E96" i="26"/>
  <c r="E95" i="26"/>
  <c r="E99" i="26"/>
  <c r="E97" i="26"/>
  <c r="G84" i="26"/>
  <c r="G85" i="26"/>
  <c r="F100" i="26"/>
  <c r="G87" i="26"/>
  <c r="G83" i="26"/>
  <c r="G86" i="26"/>
  <c r="E100" i="26"/>
  <c r="Q14" i="1"/>
  <c r="Q46" i="1"/>
  <c r="Q41" i="1"/>
  <c r="Q47" i="1"/>
  <c r="Q29" i="1"/>
  <c r="Q10" i="1"/>
  <c r="Q20" i="1"/>
  <c r="Q6" i="1"/>
  <c r="Q37" i="1"/>
  <c r="Q54" i="1"/>
  <c r="O68" i="23"/>
  <c r="Q21" i="1"/>
  <c r="Q44" i="1"/>
  <c r="Q4" i="1"/>
  <c r="Q49" i="1"/>
  <c r="Q38" i="1"/>
  <c r="O68" i="22"/>
  <c r="Q7" i="1"/>
  <c r="Q19" i="1"/>
  <c r="Q48" i="1"/>
  <c r="Q31" i="1"/>
  <c r="Q43" i="1"/>
  <c r="Q28" i="1"/>
  <c r="Q23" i="1"/>
  <c r="Q58" i="1"/>
  <c r="Q59" i="1"/>
  <c r="Q50" i="1"/>
  <c r="Q40" i="1"/>
  <c r="P58" i="23"/>
  <c r="Q13" i="23" s="1"/>
  <c r="F48" i="26"/>
  <c r="Q61" i="1"/>
  <c r="Q36" i="1"/>
  <c r="Q27" i="1"/>
  <c r="Q39" i="1"/>
  <c r="Q25" i="1"/>
  <c r="Q8" i="1"/>
  <c r="Q62" i="1"/>
  <c r="Q16" i="1"/>
  <c r="Q52" i="1"/>
  <c r="Q9" i="1"/>
  <c r="Q60" i="1"/>
  <c r="Q32" i="1"/>
  <c r="Q12" i="1"/>
  <c r="Q17" i="1"/>
  <c r="Q15" i="1"/>
  <c r="Q24" i="1"/>
  <c r="P58" i="22"/>
  <c r="Q56" i="22" s="1"/>
  <c r="Q64" i="1"/>
  <c r="Q34" i="1"/>
  <c r="Q26" i="1"/>
  <c r="Q63" i="1"/>
  <c r="Q22" i="1"/>
  <c r="Q33" i="1"/>
  <c r="Q30" i="1"/>
  <c r="Q42" i="1"/>
  <c r="Q13" i="1"/>
  <c r="Q35" i="1"/>
  <c r="Q53" i="1"/>
  <c r="Q5" i="1"/>
  <c r="Q51" i="1"/>
  <c r="G42" i="26" l="1"/>
  <c r="G41" i="26"/>
  <c r="G40" i="26"/>
  <c r="G46" i="26"/>
  <c r="G45" i="26"/>
  <c r="G43" i="26"/>
  <c r="G44" i="26"/>
  <c r="G47" i="26"/>
  <c r="G39" i="26"/>
  <c r="F101" i="26"/>
  <c r="G97" i="26" s="1"/>
  <c r="Q21" i="23"/>
  <c r="Q48" i="23"/>
  <c r="Q17" i="23"/>
  <c r="Q15" i="23"/>
  <c r="Q37" i="23"/>
  <c r="Q41" i="23"/>
  <c r="Q53" i="23"/>
  <c r="Q52" i="23"/>
  <c r="Q44" i="23"/>
  <c r="Q45" i="23"/>
  <c r="Q24" i="23"/>
  <c r="Q14" i="23"/>
  <c r="Q19" i="23"/>
  <c r="Q60" i="23"/>
  <c r="Q12" i="23"/>
  <c r="Q62" i="23"/>
  <c r="Q10" i="23"/>
  <c r="Q27" i="23"/>
  <c r="Q47" i="23"/>
  <c r="Q58" i="23"/>
  <c r="Q51" i="23"/>
  <c r="Q61" i="23"/>
  <c r="Q64" i="23"/>
  <c r="Q16" i="23"/>
  <c r="Q7" i="23"/>
  <c r="Q20" i="23"/>
  <c r="Q65" i="23"/>
  <c r="Q23" i="23"/>
  <c r="Q8" i="23"/>
  <c r="Q28" i="23"/>
  <c r="Q54" i="23"/>
  <c r="Q49" i="23"/>
  <c r="Q35" i="23"/>
  <c r="Q43" i="23"/>
  <c r="Q22" i="23"/>
  <c r="Q25" i="23"/>
  <c r="Q66" i="23"/>
  <c r="Q31" i="23"/>
  <c r="Q50" i="23"/>
  <c r="Q42" i="23"/>
  <c r="Q34" i="23"/>
  <c r="Q30" i="23"/>
  <c r="Q32" i="23"/>
  <c r="Q38" i="23"/>
  <c r="Q29" i="23"/>
  <c r="Q26" i="23"/>
  <c r="Q56" i="23"/>
  <c r="Q6" i="23"/>
  <c r="Q63" i="23"/>
  <c r="Q39" i="23"/>
  <c r="Q36" i="23"/>
  <c r="Q33" i="23"/>
  <c r="Q46" i="23"/>
  <c r="Q55" i="23"/>
  <c r="Q18" i="23"/>
  <c r="Q9" i="23"/>
  <c r="Q40" i="23"/>
  <c r="Q11" i="23"/>
  <c r="Q66" i="1"/>
  <c r="Q48" i="22"/>
  <c r="Q66" i="22"/>
  <c r="Q26" i="22"/>
  <c r="Q14" i="22"/>
  <c r="Q55" i="22"/>
  <c r="Q28" i="22"/>
  <c r="Q47" i="22"/>
  <c r="Q49" i="22"/>
  <c r="Q37" i="22"/>
  <c r="Q52" i="22"/>
  <c r="Q61" i="22"/>
  <c r="Q15" i="22"/>
  <c r="Q30" i="22"/>
  <c r="Q64" i="22"/>
  <c r="Q45" i="22"/>
  <c r="Q24" i="22"/>
  <c r="Q54" i="22"/>
  <c r="Q11" i="22"/>
  <c r="Q8" i="22"/>
  <c r="Q44" i="22"/>
  <c r="Q7" i="22"/>
  <c r="Q16" i="22"/>
  <c r="Q31" i="22"/>
  <c r="Q65" i="22"/>
  <c r="Q40" i="22"/>
  <c r="Q38" i="22"/>
  <c r="Q20" i="22"/>
  <c r="Q63" i="22"/>
  <c r="Q34" i="22"/>
  <c r="Q43" i="22"/>
  <c r="Q29" i="22"/>
  <c r="Q23" i="22"/>
  <c r="Q13" i="22"/>
  <c r="Q22" i="22"/>
  <c r="Q33" i="22"/>
  <c r="Q41" i="22"/>
  <c r="Q18" i="22"/>
  <c r="Q36" i="22"/>
  <c r="Q19" i="22"/>
  <c r="Q27" i="22"/>
  <c r="Q9" i="22"/>
  <c r="Q6" i="22"/>
  <c r="Q58" i="22"/>
  <c r="Q62" i="22"/>
  <c r="Q17" i="22"/>
  <c r="Q46" i="22"/>
  <c r="Q42" i="22"/>
  <c r="Q53" i="22"/>
  <c r="Q25" i="22"/>
  <c r="Q32" i="22"/>
  <c r="Q51" i="22"/>
  <c r="Q35" i="22"/>
  <c r="Q50" i="22"/>
  <c r="Q10" i="22"/>
  <c r="Q12" i="22"/>
  <c r="Q39" i="22"/>
  <c r="Q21" i="22"/>
  <c r="Q60" i="22"/>
  <c r="G96" i="26" l="1"/>
  <c r="G98" i="26"/>
  <c r="G95" i="26"/>
  <c r="G99" i="26"/>
  <c r="G100" i="26"/>
  <c r="Q68" i="23"/>
  <c r="Q68" i="22"/>
</calcChain>
</file>

<file path=xl/sharedStrings.xml><?xml version="1.0" encoding="utf-8"?>
<sst xmlns="http://schemas.openxmlformats.org/spreadsheetml/2006/main" count="1701" uniqueCount="758">
  <si>
    <t>Capex</t>
  </si>
  <si>
    <t>Permitting and Environmental Compliance</t>
  </si>
  <si>
    <t>1.1.1</t>
  </si>
  <si>
    <t>Siting &amp; Scoping</t>
  </si>
  <si>
    <t>1.1.2</t>
  </si>
  <si>
    <t>Pre-Installation Studies</t>
  </si>
  <si>
    <t>1.1.3</t>
  </si>
  <si>
    <t>Post-Installation Studies</t>
  </si>
  <si>
    <t>NEPA &amp; Process</t>
  </si>
  <si>
    <t>1.2.1</t>
  </si>
  <si>
    <t>Infrastructure</t>
  </si>
  <si>
    <t>1.2.2</t>
  </si>
  <si>
    <t>Subsea Cables</t>
  </si>
  <si>
    <t>Cable Landing (Material only)</t>
  </si>
  <si>
    <t>1.2.3</t>
  </si>
  <si>
    <t>Dockside Improvements</t>
  </si>
  <si>
    <t>1.2.4</t>
  </si>
  <si>
    <t>1.2.5</t>
  </si>
  <si>
    <t>Other</t>
  </si>
  <si>
    <t>Mooring/Foundation</t>
  </si>
  <si>
    <t>1.3.1</t>
  </si>
  <si>
    <t>Mooring lines/chain</t>
  </si>
  <si>
    <t>1.3.2</t>
  </si>
  <si>
    <t>Anchors</t>
  </si>
  <si>
    <t>1.3.3</t>
  </si>
  <si>
    <t>Buoyancy Tanks</t>
  </si>
  <si>
    <t>1.3.4</t>
  </si>
  <si>
    <t>Connecting Hardware (shackles etc.)</t>
  </si>
  <si>
    <t>1.3.5</t>
  </si>
  <si>
    <t>Device Structural Components</t>
  </si>
  <si>
    <t>1.4.1</t>
  </si>
  <si>
    <t>1.4.2</t>
  </si>
  <si>
    <t>1.4.3</t>
  </si>
  <si>
    <t>1.4.4</t>
  </si>
  <si>
    <t>Power Take Off</t>
  </si>
  <si>
    <t>1.5.1</t>
  </si>
  <si>
    <t>Generator</t>
  </si>
  <si>
    <t>1.5.2</t>
  </si>
  <si>
    <t>1.5.3</t>
  </si>
  <si>
    <t>1.5.4</t>
  </si>
  <si>
    <t>Hydraulic System</t>
  </si>
  <si>
    <t>Frequency Converter</t>
  </si>
  <si>
    <t>1.5.5</t>
  </si>
  <si>
    <t>Step-up Transformer</t>
  </si>
  <si>
    <t>1.5.6</t>
  </si>
  <si>
    <t>Riser Cable</t>
  </si>
  <si>
    <t>1.5.7</t>
  </si>
  <si>
    <t>Electrical Energy Storage</t>
  </si>
  <si>
    <t>1.5.8</t>
  </si>
  <si>
    <t>Installation</t>
  </si>
  <si>
    <t>Transport to Staging Site</t>
  </si>
  <si>
    <t>Cable Shore Landing</t>
  </si>
  <si>
    <t>Device Installation</t>
  </si>
  <si>
    <t>Device Comissioning</t>
  </si>
  <si>
    <t>Insurance</t>
  </si>
  <si>
    <t>Environmental Monitoring and Regulatory Compliance</t>
  </si>
  <si>
    <t>Marine Operations</t>
  </si>
  <si>
    <t>Shoreside Operations</t>
  </si>
  <si>
    <t>Replacement Parts</t>
  </si>
  <si>
    <t>Consumables</t>
  </si>
  <si>
    <t>Annualized OPEX</t>
  </si>
  <si>
    <t>Dedicated O&amp;M Vessel</t>
  </si>
  <si>
    <t>Seals</t>
  </si>
  <si>
    <t>1.5.9</t>
  </si>
  <si>
    <t xml:space="preserve">Control System </t>
  </si>
  <si>
    <t>Device Access (Railings, Ladders, etc)</t>
  </si>
  <si>
    <t>Bearings and Linear Guides</t>
  </si>
  <si>
    <t>Assembly, Testing &amp; QA</t>
  </si>
  <si>
    <t>Units</t>
  </si>
  <si>
    <t>1.5.10</t>
  </si>
  <si>
    <t>1.5.11</t>
  </si>
  <si>
    <t>1.5.12</t>
  </si>
  <si>
    <t>Rotors</t>
  </si>
  <si>
    <t>1.5.13</t>
  </si>
  <si>
    <t>Gearbox and Driveshaft</t>
  </si>
  <si>
    <t>Mooring/Foundation System</t>
  </si>
  <si>
    <t>1.4.5</t>
  </si>
  <si>
    <t>Subsystem Integration &amp; Profit Margin</t>
  </si>
  <si>
    <t>1.7.1</t>
  </si>
  <si>
    <t>1.7.2</t>
  </si>
  <si>
    <t>1.7.3</t>
  </si>
  <si>
    <t>1.7.4</t>
  </si>
  <si>
    <t>1.7.5</t>
  </si>
  <si>
    <t>1.7.6</t>
  </si>
  <si>
    <t>Cost</t>
  </si>
  <si>
    <t>Total Cost</t>
  </si>
  <si>
    <t>Total</t>
  </si>
  <si>
    <t>Assumptions</t>
  </si>
  <si>
    <t>Failure Rates based on Wind Turbine analog</t>
  </si>
  <si>
    <t>Redundancy measure will double cost of components and eliminate the need to trigger a direct intervention</t>
  </si>
  <si>
    <t xml:space="preserve">Some redundancy measures proposed may have to be demonstrated. I.e. redundant pitch actuator. I.e. we assume that these measures can be implemented. </t>
  </si>
  <si>
    <t>System</t>
  </si>
  <si>
    <t>Component</t>
  </si>
  <si>
    <t xml:space="preserve"> Total Failures over 20 yrs / initial qty parts in fleet (%)</t>
  </si>
  <si>
    <t>Action</t>
  </si>
  <si>
    <t>Rotor</t>
  </si>
  <si>
    <t>Blade--struct. repair</t>
  </si>
  <si>
    <t>Recovery</t>
  </si>
  <si>
    <t/>
  </si>
  <si>
    <t>Blade--nonstruct. repair</t>
  </si>
  <si>
    <t>Pitch bearing</t>
  </si>
  <si>
    <t>Redundancy</t>
  </si>
  <si>
    <t>Pitch motor</t>
  </si>
  <si>
    <t>Pitch gear</t>
  </si>
  <si>
    <t>Pitch drive</t>
  </si>
  <si>
    <t>Drivetrain</t>
  </si>
  <si>
    <t>Main bearing</t>
  </si>
  <si>
    <t>High-speed coupling</t>
  </si>
  <si>
    <t>Gearbox and Lube</t>
  </si>
  <si>
    <t>Gearbox--gear &amp; brgs</t>
  </si>
  <si>
    <t>Gearbox--brgs, all</t>
  </si>
  <si>
    <t>Gearbox--high speed only</t>
  </si>
  <si>
    <t>Lube pumps</t>
  </si>
  <si>
    <t>Cooling Fan, Gearbox Cooling</t>
  </si>
  <si>
    <t>Generator and Cooling</t>
  </si>
  <si>
    <t>Generator--rot. &amp; brgs</t>
  </si>
  <si>
    <t>Generator--brgs only</t>
  </si>
  <si>
    <t>Motor, generator coolant fan</t>
  </si>
  <si>
    <t>Contactor, generator</t>
  </si>
  <si>
    <t>Brakes &amp; Hydraulics</t>
  </si>
  <si>
    <t>Brake caliper</t>
  </si>
  <si>
    <t>Brake Pads</t>
  </si>
  <si>
    <t>Accumulator</t>
  </si>
  <si>
    <t>Hydraulic pump</t>
  </si>
  <si>
    <t>Hydraulic valve</t>
  </si>
  <si>
    <t>Control System</t>
  </si>
  <si>
    <t>Control board, Top</t>
  </si>
  <si>
    <t>Control board, Main</t>
  </si>
  <si>
    <t>Control Module</t>
  </si>
  <si>
    <t>Sensor, static</t>
  </si>
  <si>
    <t>Sensor, dynamic</t>
  </si>
  <si>
    <t>Electrical and Grid</t>
  </si>
  <si>
    <t>Main Contactor</t>
  </si>
  <si>
    <t>Main Circuit Breaker</t>
  </si>
  <si>
    <t>Misc. (All others)</t>
  </si>
  <si>
    <t>Miscellaneous Parts</t>
  </si>
  <si>
    <t># Repairs per Unit-Year</t>
  </si>
  <si>
    <t>Per Year</t>
  </si>
  <si>
    <t>Redundant system faulure per rotor and year</t>
  </si>
  <si>
    <t># Days</t>
  </si>
  <si>
    <t>Dayrate</t>
  </si>
  <si>
    <t xml:space="preserve">Total Days Derrick Barge &amp; Support Vessels are rq'd for mooring installation </t>
  </si>
  <si>
    <t>At Dock (Mob/Demob)</t>
  </si>
  <si>
    <t>Transit/Anchoring</t>
  </si>
  <si>
    <t>Standby</t>
  </si>
  <si>
    <t>Will require a tug and a barge to support ops.  Will be mobilized locally.</t>
  </si>
  <si>
    <t>Day rate of DP-2 vessel included here to establish installation cost</t>
  </si>
  <si>
    <t>Additional Equipment to be mobilized</t>
  </si>
  <si>
    <t>Cable Handling and Burial Equipment/Tools required</t>
  </si>
  <si>
    <t>Generators</t>
  </si>
  <si>
    <t>Sum</t>
  </si>
  <si>
    <t>At Dock M/D</t>
  </si>
  <si>
    <t>Loading Cable</t>
  </si>
  <si>
    <t>Transit</t>
  </si>
  <si>
    <t>Installation Ops</t>
  </si>
  <si>
    <t>1-Unit</t>
  </si>
  <si>
    <t>Summary</t>
  </si>
  <si>
    <t>Notes</t>
  </si>
  <si>
    <t>Notes:</t>
  </si>
  <si>
    <t>Subsystem Integration and Profit margins are difficult to estimate given the level of design of the reference model.  For consistency and to make it simple, this was assumed to be 10% of the machine cost.  This is probably low for single unit production scale</t>
  </si>
  <si>
    <t xml:space="preserve">However, because the primary focus of the RM effort is in identifying cost reduction pathways it was decided to apply this assumption, rather then an assumption as a function of deployment scale.  </t>
  </si>
  <si>
    <t>Failure Rates reduced by using redundancy assumptions (all items in blue)</t>
  </si>
  <si>
    <t xml:space="preserve">Redundant systems are assumed to bring reliability to 100%. I.e. no secondary failure of the redundant system is assumed. This is consistent with what has been done in wind. </t>
  </si>
  <si>
    <t>Yaw drive and yaw bearings are removed because they are not existent</t>
  </si>
  <si>
    <t># repairs if no redundancy measure is introduced</t>
  </si>
  <si>
    <t xml:space="preserve">Regular Maintenance would have to be carried out to: (1) replace filter elements, (2) repair non-critical elements (refurbishments), (3) replace gearbox oil, (4) clean off biofouling and spot-repainting.  </t>
  </si>
  <si>
    <t xml:space="preserve">Such regular maintenance is carried out once per year.  To get to a regular intervention cycle of 1/year, the gearbox lubrication system has to be specifically design for that purpose.  </t>
  </si>
  <si>
    <t>Operational Schedule and Breakdown</t>
  </si>
  <si>
    <t>Operational Cost</t>
  </si>
  <si>
    <t>Device Installation using DP-2 Vessel (100 Units)</t>
  </si>
  <si>
    <t xml:space="preserve"> - Operational Contingency (Weather) 25%</t>
  </si>
  <si>
    <t>Cable Landing - Horizontal Directional Drilling</t>
  </si>
  <si>
    <t xml:space="preserve"> - 1 Unit would require an 8" conduit</t>
  </si>
  <si>
    <t xml:space="preserve"> </t>
  </si>
  <si>
    <t xml:space="preserve"> - Jettable Material &lt; 7,500 psi </t>
  </si>
  <si>
    <t>10 Units</t>
  </si>
  <si>
    <t>50 Units</t>
  </si>
  <si>
    <t>100 Units</t>
  </si>
  <si>
    <t>Transport Cost to Staging Site</t>
  </si>
  <si>
    <t>1 - Unit</t>
  </si>
  <si>
    <t>10 - Units</t>
  </si>
  <si>
    <t>100 - Units</t>
  </si>
  <si>
    <t>50 - Units</t>
  </si>
  <si>
    <t>Note: Typical in offshore one-off projects</t>
  </si>
  <si>
    <t>Note: Typical in Onshore Wind, assuming high technical maturity</t>
  </si>
  <si>
    <t>Marine Operational Aspects are discussed in section 2.6.4 of the main report</t>
  </si>
  <si>
    <t>Failure Rate Assumptions are discussed in section 2.6.1 of the main report. In excel format, those are re-stated in sheet 2.</t>
  </si>
  <si>
    <t>Scheduled Maintenance Assumptions are outlined in section 2.6.2 of the main report</t>
  </si>
  <si>
    <t xml:space="preserve">Cost of shore-side ops is estimated based on Windpact O&amp;M cost model provided by NREL (O&amp;M Cost Estimator_revA_22Jun2006.xls). Below are the assumptions on labor and consumables. It is assumed that the labor associated with repair are similar to wind. </t>
  </si>
  <si>
    <t>O&amp;M Vessel Cost is included in the CAPEX of the plant and shown in 1.2.4</t>
  </si>
  <si>
    <t>Vessel Crew Estimate</t>
  </si>
  <si>
    <t>Comments/Notes</t>
  </si>
  <si>
    <t>Captain/DP Operator</t>
  </si>
  <si>
    <t>Ist Mate/DP Operator</t>
  </si>
  <si>
    <t>2nd Mate</t>
  </si>
  <si>
    <t>Chief Engineer</t>
  </si>
  <si>
    <t>2nd Engineer</t>
  </si>
  <si>
    <t>AB</t>
  </si>
  <si>
    <t>Deck Hand</t>
  </si>
  <si>
    <t>Oiler/Wiper</t>
  </si>
  <si>
    <t>Total for Ship's Crew</t>
  </si>
  <si>
    <t>Deck Crew Estimate</t>
  </si>
  <si>
    <t>Installation Superintendent</t>
  </si>
  <si>
    <t>Deck Foreman</t>
  </si>
  <si>
    <t>Winch/Truss Operator</t>
  </si>
  <si>
    <t>Navigation/Survey</t>
  </si>
  <si>
    <t>Deck Hands/Riggers</t>
  </si>
  <si>
    <t xml:space="preserve">Equipment Operator </t>
  </si>
  <si>
    <t>Total for Installation Crew per day</t>
  </si>
  <si>
    <t>Salary ($/year)</t>
  </si>
  <si>
    <t>Burden</t>
  </si>
  <si>
    <t># of Staff</t>
  </si>
  <si>
    <t>Staffing Costs ($/Year)</t>
  </si>
  <si>
    <t>Average</t>
  </si>
  <si>
    <t>1 Unit</t>
  </si>
  <si>
    <t>Wage ($/hr)</t>
  </si>
  <si>
    <t>(%)</t>
  </si>
  <si>
    <t>years 1-5</t>
  </si>
  <si>
    <t>6-10</t>
  </si>
  <si>
    <t>11-15</t>
  </si>
  <si>
    <t>16-20</t>
  </si>
  <si>
    <t>Site Manager Salary</t>
  </si>
  <si>
    <t>Admin. Asst. Salary</t>
  </si>
  <si>
    <t>Sr. Tech Wage</t>
  </si>
  <si>
    <t>Jr. Tech Wage</t>
  </si>
  <si>
    <t>Totals</t>
  </si>
  <si>
    <t>Annual Wind Turbine Consumables for 100 x 1MW Unit Operation</t>
  </si>
  <si>
    <t>Item</t>
  </si>
  <si>
    <t>Gear oil filter</t>
  </si>
  <si>
    <t>Hydraulic filter</t>
  </si>
  <si>
    <t>Offline-filter</t>
  </si>
  <si>
    <t xml:space="preserve">Hydraulic oil replenish </t>
  </si>
  <si>
    <t>Gear oil change (mineral)</t>
  </si>
  <si>
    <t xml:space="preserve">Yaw gear grease </t>
  </si>
  <si>
    <t>Bearing grease</t>
  </si>
  <si>
    <t>Oil Testing</t>
  </si>
  <si>
    <t>Electricity (at 5.5 cents/kWh)</t>
  </si>
  <si>
    <t xml:space="preserve">Staffing Levels and Cost for 100 x 1MW Unit Operation. </t>
  </si>
  <si>
    <t>Estimating Failure Rates per Year</t>
  </si>
  <si>
    <t>Table Failure Analysis from 1MW Wind Turbine System using NREL reliability data</t>
  </si>
  <si>
    <t>Development</t>
  </si>
  <si>
    <t>1.1.1.1</t>
  </si>
  <si>
    <t>1.1.1.2</t>
  </si>
  <si>
    <t>1.1.1.3</t>
  </si>
  <si>
    <t>1.1.1.4</t>
  </si>
  <si>
    <t>Site Assessment</t>
  </si>
  <si>
    <t>Design &amp; Engineering</t>
  </si>
  <si>
    <t>10-Units</t>
  </si>
  <si>
    <t>100-Units</t>
  </si>
  <si>
    <t>50-Units</t>
  </si>
  <si>
    <t xml:space="preserve"> - 10 Units would require 10" Conduit</t>
  </si>
  <si>
    <t xml:space="preserve"> - 50 Units would require 2 x 10" conduit</t>
  </si>
  <si>
    <t xml:space="preserve"> - 100 Units would require 3 x 10" conduit</t>
  </si>
  <si>
    <t>Cost Summary</t>
  </si>
  <si>
    <r>
      <rPr>
        <b/>
        <sz val="11"/>
        <color theme="1"/>
        <rFont val="Calibri"/>
        <family val="2"/>
        <scheme val="minor"/>
      </rPr>
      <t xml:space="preserve">References: </t>
    </r>
    <r>
      <rPr>
        <sz val="11"/>
        <color theme="1"/>
        <rFont val="Calibri"/>
        <family val="2"/>
        <scheme val="minor"/>
      </rPr>
      <t>Background on the device site and cable layout is found in section 2.1 of the main report</t>
    </r>
  </si>
  <si>
    <t>Weight (tonnes)</t>
  </si>
  <si>
    <t>Profit</t>
  </si>
  <si>
    <t>Mass</t>
  </si>
  <si>
    <t>Category</t>
  </si>
  <si>
    <t>Prog Ratio</t>
  </si>
  <si>
    <t xml:space="preserve"> - Assumption: Similarity in powertrain topology leads to similar failure rates of an equivalent wind machine</t>
  </si>
  <si>
    <t xml:space="preserve"> - Component failure cost are computed using the NREL O&amp;M calculator (O&amp;M Cost Estimator RevA 22June06)</t>
  </si>
  <si>
    <t xml:space="preserve"> - L50 life was chosen as failure cycle and simply averaged.  This is a simplification over a weibull-type approach and results in a conservative estimate.</t>
  </si>
  <si>
    <t>Cost per unit</t>
  </si>
  <si>
    <r>
      <rPr>
        <b/>
        <sz val="11"/>
        <color theme="1"/>
        <rFont val="Calibri"/>
        <family val="2"/>
        <scheme val="minor"/>
      </rPr>
      <t xml:space="preserve">References: </t>
    </r>
    <r>
      <rPr>
        <sz val="11"/>
        <color theme="1"/>
        <rFont val="Calibri"/>
        <family val="2"/>
        <scheme val="minor"/>
      </rPr>
      <t>Consumables are estimated to be the same as for an equivalently rated wind-turbine.  Estimate is based on NREL Windpacct study</t>
    </r>
  </si>
  <si>
    <t>Siting and Scoping</t>
  </si>
  <si>
    <t>Preliminary Resource Assessemnt</t>
  </si>
  <si>
    <t>Environmental Scoping</t>
  </si>
  <si>
    <t>Community Outreach</t>
  </si>
  <si>
    <t>Regulatory Outreach</t>
  </si>
  <si>
    <t>Detailed Resource Assessment</t>
  </si>
  <si>
    <t>Seabed Survey, Mapping and Bottom Composition</t>
  </si>
  <si>
    <t>Marine Mammals</t>
  </si>
  <si>
    <t>Fish and Invertebrates</t>
  </si>
  <si>
    <t>Seabirds</t>
  </si>
  <si>
    <t>Water Quality</t>
  </si>
  <si>
    <t>Habitat</t>
  </si>
  <si>
    <t>Cultural Resources</t>
  </si>
  <si>
    <t>Navigation</t>
  </si>
  <si>
    <t>Recreation</t>
  </si>
  <si>
    <t>Post-Install Capital</t>
  </si>
  <si>
    <t>NEPA Document Preparation</t>
  </si>
  <si>
    <t>Monitoring and Study Plans</t>
  </si>
  <si>
    <t>Marine Mammal</t>
  </si>
  <si>
    <t>Fish</t>
  </si>
  <si>
    <t>Benthos</t>
  </si>
  <si>
    <t>Acoustic Characterization Monitoring</t>
  </si>
  <si>
    <t>NEPA and Process</t>
  </si>
  <si>
    <t>Ecosystem Effects Seabird</t>
  </si>
  <si>
    <t>Ecosystem Effects Marine Mammals</t>
  </si>
  <si>
    <t>Ecosystem Effects Fish</t>
  </si>
  <si>
    <r>
      <rPr>
        <b/>
        <sz val="11"/>
        <color theme="1"/>
        <rFont val="Calibri"/>
        <family val="2"/>
        <scheme val="minor"/>
      </rPr>
      <t>References:</t>
    </r>
    <r>
      <rPr>
        <sz val="11"/>
        <color theme="1"/>
        <rFont val="Calibri"/>
        <family val="2"/>
        <scheme val="minor"/>
      </rPr>
      <t xml:space="preserve"> Installation procedure outlines and descriptions are found in the main report, section 2.5</t>
    </r>
  </si>
  <si>
    <r>
      <rPr>
        <b/>
        <sz val="11"/>
        <color theme="1"/>
        <rFont val="Calibri"/>
        <family val="2"/>
        <scheme val="minor"/>
      </rPr>
      <t xml:space="preserve">References: </t>
    </r>
    <r>
      <rPr>
        <sz val="11"/>
        <color theme="1"/>
        <rFont val="Calibri"/>
        <family val="2"/>
        <scheme val="minor"/>
      </rPr>
      <t xml:space="preserve">Data in this section comes from PNNL and is described in separate supporting document produced by PNNL. </t>
    </r>
  </si>
  <si>
    <t>Cost Breakdown Structure for OCT machine rated at 4.0 MW</t>
  </si>
  <si>
    <t>Wing</t>
  </si>
  <si>
    <t xml:space="preserve">Material </t>
  </si>
  <si>
    <t>Labor</t>
  </si>
  <si>
    <t>Material</t>
  </si>
  <si>
    <t>QTY</t>
  </si>
  <si>
    <t>Single Unit Cost Breakdown</t>
  </si>
  <si>
    <t>Cost per 1</t>
  </si>
  <si>
    <t>References</t>
  </si>
  <si>
    <r>
      <t xml:space="preserve">References: </t>
    </r>
    <r>
      <rPr>
        <sz val="11"/>
        <color theme="1"/>
        <rFont val="Calibri"/>
        <family val="2"/>
        <scheme val="minor"/>
      </rPr>
      <t xml:space="preserve">Replacement part cost are assumed to be the same cost as the original part. Failure rate assumptions come from the NREL study. </t>
    </r>
  </si>
  <si>
    <r>
      <t xml:space="preserve">Reference: </t>
    </r>
    <r>
      <rPr>
        <sz val="11"/>
        <color theme="1"/>
        <rFont val="Calibri"/>
        <family val="2"/>
        <scheme val="minor"/>
      </rPr>
      <t>Insurance cost assumptions are described in section 2.6.3 of the main report as follows:</t>
    </r>
  </si>
  <si>
    <t>Driveshaft</t>
  </si>
  <si>
    <t>FWD Sea Water Seal Housing</t>
  </si>
  <si>
    <t>Bearing Housing</t>
  </si>
  <si>
    <t>Bearing Mounting Sleeve</t>
  </si>
  <si>
    <t>Bearing Spacer</t>
  </si>
  <si>
    <t>AFT Internal Seal Housing</t>
  </si>
  <si>
    <t>Rotor Hub to Shaft Insert</t>
  </si>
  <si>
    <t>Rotor Blade Seal Ring/Housing</t>
  </si>
  <si>
    <t>Rotor Blade Base Insert</t>
  </si>
  <si>
    <t>Pitch Motor Mounting Ring</t>
  </si>
  <si>
    <t>Transformer 100 kV</t>
  </si>
  <si>
    <t>Power Converter/Drives</t>
  </si>
  <si>
    <t>Gearbox w/ Brake</t>
  </si>
  <si>
    <t>Wiring</t>
  </si>
  <si>
    <t>Thrust Bearings</t>
  </si>
  <si>
    <t>Radial Bearings</t>
  </si>
  <si>
    <t>John Crane Seal</t>
  </si>
  <si>
    <t>Centaflex Coupling</t>
  </si>
  <si>
    <t>PTO and Power Electronics Nacelle</t>
  </si>
  <si>
    <t>Fairing</t>
  </si>
  <si>
    <t>Buoyancy Tank</t>
  </si>
  <si>
    <t>1.2.1 Subsea Cables</t>
  </si>
  <si>
    <t>m</t>
  </si>
  <si>
    <t>Directional Drilling Distance</t>
  </si>
  <si>
    <t>Site Distance to shore</t>
  </si>
  <si>
    <t>Total Trunk Cable Length</t>
  </si>
  <si>
    <t>Water Depth</t>
  </si>
  <si>
    <t>Contingency (20%)</t>
  </si>
  <si>
    <t>Total Interconnect Cable Length</t>
  </si>
  <si>
    <t>Cable Specs 1-Unit</t>
  </si>
  <si>
    <t>Voltage Level</t>
  </si>
  <si>
    <t>kV</t>
  </si>
  <si>
    <t>Conductor Size</t>
  </si>
  <si>
    <t>Cable Specs 10-Units</t>
  </si>
  <si>
    <t>Cable Capacity</t>
  </si>
  <si>
    <t>MVA</t>
  </si>
  <si>
    <t>Cable Specs 50 Units</t>
  </si>
  <si>
    <t>Cable Specs 100 Units</t>
  </si>
  <si>
    <t>#</t>
  </si>
  <si>
    <t>mm^2</t>
  </si>
  <si>
    <t>mm</t>
  </si>
  <si>
    <t>kg/m</t>
  </si>
  <si>
    <t>A</t>
  </si>
  <si>
    <t>MW</t>
  </si>
  <si>
    <t>Required Capacity</t>
  </si>
  <si>
    <t># Parallel Trunk Cables</t>
  </si>
  <si>
    <t>1.2.3 Dockside Improvements</t>
  </si>
  <si>
    <t>1.2.4 Dedicated O&amp;M Vessel</t>
  </si>
  <si>
    <t>ABS DP Class 2</t>
  </si>
  <si>
    <t>Station Keeping in 4-6 knot current</t>
  </si>
  <si>
    <t>System Requirements</t>
  </si>
  <si>
    <t>Jones Act Comliant</t>
  </si>
  <si>
    <t>System Concept</t>
  </si>
  <si>
    <t>1.3.1 Mooring Lines / Chain</t>
  </si>
  <si>
    <t>50m of Studlink Chain - 6.7 inches, certified</t>
  </si>
  <si>
    <t>1.3.2 Anchors</t>
  </si>
  <si>
    <t>1.3.3 Connecting Hardware</t>
  </si>
  <si>
    <t>5mT SEA Anchor (from SPT Offshore) incl. design, follower and rigging</t>
  </si>
  <si>
    <t>Riser/Interconnect Cable 2880M @ $150/m</t>
  </si>
  <si>
    <t>100 Unit Cost Breakdown</t>
  </si>
  <si>
    <t>Parts per turbine</t>
  </si>
  <si>
    <t>200 Units</t>
  </si>
  <si>
    <t>400 Units</t>
  </si>
  <si>
    <t>avg</t>
  </si>
  <si>
    <t>Scaling Analysis to 400 Units</t>
  </si>
  <si>
    <t xml:space="preserve"> - Percentage of Component Cost from O&amp;M calculator model was taken as representative value across different unit-scales</t>
  </si>
  <si>
    <t>Bedplate</t>
  </si>
  <si>
    <t>Hub</t>
  </si>
  <si>
    <t>Annual Maintenance Cycle</t>
  </si>
  <si>
    <t># Failures per Unit</t>
  </si>
  <si>
    <t># Interventions per Unit</t>
  </si>
  <si>
    <t xml:space="preserve"> - Costs are constant and on a per MW basis</t>
  </si>
  <si>
    <t xml:space="preserve"> - Higher capacity factor in ocean current turbine requires an adjustment on the consumables</t>
  </si>
  <si>
    <t xml:space="preserve">Scale from 1MW to 4MW </t>
  </si>
  <si>
    <t>Scale from CF=30% to CF=70%</t>
  </si>
  <si>
    <t>General Inflation Index (2006 - 2012)</t>
  </si>
  <si>
    <t>Consumables Cost per Unit-year</t>
  </si>
  <si>
    <t xml:space="preserve"> - Drilling Distance: 500m</t>
  </si>
  <si>
    <t>Mooring Installation (100 Units)</t>
  </si>
  <si>
    <t xml:space="preserve"> - DP-2 Vessel</t>
  </si>
  <si>
    <t xml:space="preserve"> - Crew Boat</t>
  </si>
  <si>
    <t xml:space="preserve">a) Mobe Vessels </t>
  </si>
  <si>
    <t>b) Transit from home port to Florida Port</t>
  </si>
  <si>
    <t>c) Load Moorings</t>
  </si>
  <si>
    <t>d) Transit to site</t>
  </si>
  <si>
    <t xml:space="preserve"> - Assumes 24hours per device mooring installation.  Breaks down as; (1) SEA Anchor Installation Time in 700m water: 8 hours, and Bruce anchor installation time in 700m of water: 6 hours.  Remaining hours required for submerging the buoyancy module etc.</t>
  </si>
  <si>
    <t>Unit</t>
  </si>
  <si>
    <t>Mooring Installation</t>
  </si>
  <si>
    <t>Mooring Installation Operational Day-rates</t>
  </si>
  <si>
    <t>Total Cost of Mooring Installation</t>
  </si>
  <si>
    <t>Mobe/Demobe Cost</t>
  </si>
  <si>
    <t xml:space="preserve">Dayrates </t>
  </si>
  <si>
    <t>Cable Installation using Cable Install Vessel</t>
  </si>
  <si>
    <t>Custom O&amp;M Vessel used for device deployment</t>
  </si>
  <si>
    <t>Transport from GOM manufacturing site on Barge</t>
  </si>
  <si>
    <t>Unload at Florida Staging Port</t>
  </si>
  <si>
    <t>% of Structural</t>
  </si>
  <si>
    <t>1 mass production</t>
  </si>
  <si>
    <t>PTO mounting</t>
  </si>
  <si>
    <t>1.5.14</t>
  </si>
  <si>
    <t>Blade cost</t>
  </si>
  <si>
    <t>3 Rotor Blades</t>
  </si>
  <si>
    <t>Pitching Mechanism (Pieces, Motors, actuator and drives)</t>
  </si>
  <si>
    <t>Low speed shaft (drivetrain)</t>
  </si>
  <si>
    <t>Main Bearings</t>
  </si>
  <si>
    <t>Gearbox:     a-3stage Drive, high-speed generator,
                     b-1stage, mid-spd, permnt-magnet generator, 
                     c-multi-stage, permnt-magnet generator,</t>
  </si>
  <si>
    <t>Braking system,  high speed coupling and associate componenets</t>
  </si>
  <si>
    <t>Generator:  a-3stage Drive, high-speed generator,
                     b-1stage, mid-spd, permnt-magnet generator, 
                     c-multi-stage, permnt-magnet generator,</t>
  </si>
  <si>
    <t>Variable speed power converter</t>
  </si>
  <si>
    <t>Wiring and Electrical Connections</t>
  </si>
  <si>
    <t>Hydraulic, cooling systems</t>
  </si>
  <si>
    <t xml:space="preserve">Control safety system, condition monitoring </t>
  </si>
  <si>
    <t>Transformer</t>
  </si>
  <si>
    <t>kW</t>
  </si>
  <si>
    <t>m^2</t>
  </si>
  <si>
    <t>Rotor Diameter</t>
  </si>
  <si>
    <t>Mass (kg)</t>
  </si>
  <si>
    <t># of Turbines</t>
  </si>
  <si>
    <t>Rated Capacity per Turbine</t>
  </si>
  <si>
    <t>Cumulative Part Cost over 20-year life</t>
  </si>
  <si>
    <t>$/Turbine</t>
  </si>
  <si>
    <t>$/kW</t>
  </si>
  <si>
    <t>$/kW rated wind turbine cost</t>
  </si>
  <si>
    <t>$/kW-year</t>
  </si>
  <si>
    <t>/kW</t>
  </si>
  <si>
    <t>% of powertrain Capex for replacement parts</t>
  </si>
  <si>
    <t xml:space="preserve">Powertrain Capex (active parts only) - excluding subsea cable </t>
  </si>
  <si>
    <t>Replacement Part Cost per year</t>
  </si>
  <si>
    <t>Mooring System Cost Totals</t>
  </si>
  <si>
    <t xml:space="preserve"> - Assumes a 10-year replacement cycle for the mooring system</t>
  </si>
  <si>
    <t xml:space="preserve"> - Assumes a 10-year replacement cycle for the riser cable cost</t>
  </si>
  <si>
    <t>Reference Cost Case modeled in NREL O&amp;M calculator model ($2006)</t>
  </si>
  <si>
    <t>Operation Cost for Mooring Replacement</t>
  </si>
  <si>
    <t>Total Installed Cost for Mooring System</t>
  </si>
  <si>
    <t>Mooring-replacement cost per year</t>
  </si>
  <si>
    <t>Riser Cable Cost</t>
  </si>
  <si>
    <t>10% of Riser Cable Cost as relative value</t>
  </si>
  <si>
    <t>Total Replacement Cost</t>
  </si>
  <si>
    <t>Powertrain Cost Summary inserted here for convenience</t>
  </si>
  <si>
    <t>1 unit mass production</t>
  </si>
  <si>
    <t># Units</t>
  </si>
  <si>
    <t>e) Setup 4-Point Moor</t>
  </si>
  <si>
    <t>f) Install SEA mooring leg</t>
  </si>
  <si>
    <t>g) Install Thrust Mooring</t>
  </si>
  <si>
    <t>h) Pull-down buoyancy Tank</t>
  </si>
  <si>
    <t>day per mooring</t>
  </si>
  <si>
    <t xml:space="preserve">day per mooring </t>
  </si>
  <si>
    <t>i) Final Rigging</t>
  </si>
  <si>
    <t>j) Transit to home port</t>
  </si>
  <si>
    <t xml:space="preserve">k) Demobe </t>
  </si>
  <si>
    <t># days</t>
  </si>
  <si>
    <t>$/day</t>
  </si>
  <si>
    <t>Mobilization Charges</t>
  </si>
  <si>
    <t>Schedule</t>
  </si>
  <si>
    <t>New Orleans to Ft Laud</t>
  </si>
  <si>
    <t>Ft Laud to Job Site</t>
  </si>
  <si>
    <t>Mobilization</t>
  </si>
  <si>
    <t>Load Cable</t>
  </si>
  <si>
    <t>Shore End Cable</t>
  </si>
  <si>
    <t xml:space="preserve">Lay Trunk Cable </t>
  </si>
  <si>
    <t>End for End Trunk Cable</t>
  </si>
  <si>
    <t>First connection to device</t>
  </si>
  <si>
    <t>Lay Cable Between Device</t>
  </si>
  <si>
    <t xml:space="preserve">End for End interconnect </t>
  </si>
  <si>
    <t>Connect to next device</t>
  </si>
  <si>
    <t>Demobilization</t>
  </si>
  <si>
    <t>Contingency</t>
  </si>
  <si>
    <t>#Days</t>
  </si>
  <si>
    <t>Cable</t>
  </si>
  <si>
    <t>Cables</t>
  </si>
  <si>
    <t>Trunk cable length = 37km</t>
  </si>
  <si>
    <t>Riser Cable Installation Cost (per cable installation cost)</t>
  </si>
  <si>
    <t>Tow-out and deploy</t>
  </si>
  <si>
    <t>Vessel used for deployment already included in the CAPEX</t>
  </si>
  <si>
    <t>Barge-in Device from GOM</t>
  </si>
  <si>
    <t>Unload and Ready Device in Port</t>
  </si>
  <si>
    <t>Tow-Out and Install Device</t>
  </si>
  <si>
    <t>Commission Device</t>
  </si>
  <si>
    <t># days/device</t>
  </si>
  <si>
    <t># devices/O&amp;M vessel</t>
  </si>
  <si>
    <t>Estimating Ship Utilization</t>
  </si>
  <si>
    <t>Design and Engineering</t>
  </si>
  <si>
    <t xml:space="preserve">l) Operational Contingency </t>
  </si>
  <si>
    <t>Total Ops Days</t>
  </si>
  <si>
    <t>Shore-end cost</t>
  </si>
  <si>
    <t>1-Cable</t>
  </si>
  <si>
    <t>2-Cables</t>
  </si>
  <si>
    <t>3-Cables</t>
  </si>
  <si>
    <t>4-Cables</t>
  </si>
  <si>
    <t>Decommissioning</t>
  </si>
  <si>
    <t>in%</t>
  </si>
  <si>
    <t>in %</t>
  </si>
  <si>
    <t>Hydrodynamic Modelling</t>
  </si>
  <si>
    <t>Mooring Site Assessment</t>
  </si>
  <si>
    <t>Subsea Cable Route Survey</t>
  </si>
  <si>
    <t>% of total assumpton</t>
  </si>
  <si>
    <t>Total Capex (Hard Cost)</t>
  </si>
  <si>
    <t>Cost Estimating Notes</t>
  </si>
  <si>
    <t>Design &amp; Engineering is taken as a percentage of total hard cost of the device</t>
  </si>
  <si>
    <t>Site Assessment cost estimates include geotechnical studies for (1) the cable landing, (2) the subsea cable route, and (3) the moorings</t>
  </si>
  <si>
    <t>Determining Trunk-cable length</t>
  </si>
  <si>
    <t>Determining Riser-cable length</t>
  </si>
  <si>
    <t>Device Centerline Spacing</t>
  </si>
  <si>
    <t>Total Length</t>
  </si>
  <si>
    <t>Unit Cost</t>
  </si>
  <si>
    <t>$/m</t>
  </si>
  <si>
    <t>Terminations and Connectors</t>
  </si>
  <si>
    <t>1.2.2 Terminations and Connectors</t>
  </si>
  <si>
    <t>Cable OD</t>
  </si>
  <si>
    <t>Cable Weight</t>
  </si>
  <si>
    <t>Percentage of Cable Cost Assumption</t>
  </si>
  <si>
    <t>Trunk-cable cost</t>
  </si>
  <si>
    <t xml:space="preserve">Purchase existing OSV vessel suitable for conversion. A basic search of vessels found existing options in the range of $20M-$40M.  </t>
  </si>
  <si>
    <t>Transit Speed of 8 knots</t>
  </si>
  <si>
    <t>Towing Wing-assembly at 6 knots</t>
  </si>
  <si>
    <t>Operation of small workclass ROV for underwater inspection activities down to 1000m</t>
  </si>
  <si>
    <t>Cable Replacement/repairs of riser cables (Cable tank below deck to save deck-space)</t>
  </si>
  <si>
    <t>Vessel Conversion to meet specific requirements</t>
  </si>
  <si>
    <t>Use as dedicated vessel</t>
  </si>
  <si>
    <t xml:space="preserve">Cost - Estimated at $30M per vessel.  Each vessel can continously operate and maintain about 40 devices.  </t>
  </si>
  <si>
    <t>Vessel Capex</t>
  </si>
  <si>
    <t>Note: Not estimated, but included in project contingency</t>
  </si>
  <si>
    <t>Ampacity</t>
  </si>
  <si>
    <t>21mT Stevpris Mk6 Drag Embedment Anchor (equivalent holding capacity of 30mT Mk5)</t>
  </si>
  <si>
    <t>150mT Concrete Clump Weight 107 m^3 - specific density of 2.4 (poured locally)</t>
  </si>
  <si>
    <t xml:space="preserve">Percentage for Misc. items such as shakles, certification etc. </t>
  </si>
  <si>
    <t>Total Hardware</t>
  </si>
  <si>
    <t>Unit-cost for 18cm Plasma mooring line</t>
  </si>
  <si>
    <t>Unit-cost for Polyester mooring line with equivalent breaking strength</t>
  </si>
  <si>
    <t>Structural Cost Total from 1-3</t>
  </si>
  <si>
    <t>tonnes</t>
  </si>
  <si>
    <t>Non-Reccuring</t>
  </si>
  <si>
    <t>Non-Recurring</t>
  </si>
  <si>
    <t>Non-recurring</t>
  </si>
  <si>
    <t>Mass per Unit (kg)</t>
  </si>
  <si>
    <t>Total Mass per Wing (kg)</t>
  </si>
  <si>
    <t>1.6 Subsystem Integration and Profit Margin</t>
  </si>
  <si>
    <t>10% of Machine Cost</t>
  </si>
  <si>
    <t>Subsea Cable</t>
  </si>
  <si>
    <t>Mooring Lines</t>
  </si>
  <si>
    <t>Chain and Connecting Hardware</t>
  </si>
  <si>
    <t>Total HDD Activities</t>
  </si>
  <si>
    <t xml:space="preserve"> - 400 ft Derrick Barge with 400tonne crane.  Mooring system with extra-length scope to accommodate 700m of water depth.  </t>
  </si>
  <si>
    <t xml:space="preserve"> - Anchor Handling Vessel</t>
  </si>
  <si>
    <t>Device Performance</t>
  </si>
  <si>
    <t>Transmission Efficiency</t>
  </si>
  <si>
    <t>Annual Output</t>
  </si>
  <si>
    <t>Cost Breakdown Structure for Ocean Current Device</t>
  </si>
  <si>
    <t>Mirko Previsic</t>
  </si>
  <si>
    <t>Company</t>
  </si>
  <si>
    <t>Contact</t>
  </si>
  <si>
    <t>mirko@re-vision.net</t>
  </si>
  <si>
    <t>Created by</t>
  </si>
  <si>
    <t>Date</t>
  </si>
  <si>
    <t>Disclaimer</t>
  </si>
  <si>
    <t>1. This spreadsheet provides the background and details of the cost and economic assessment of the Ocean Current Device</t>
  </si>
  <si>
    <t>2. This spreadsheet supports the primary reports on the Ocean Current device</t>
  </si>
  <si>
    <t>3. Cost Estimates provided herein are based on concept design and engineering data and have high levels of uncertainties embedded</t>
  </si>
  <si>
    <t>Project Design, Engineering, and Management</t>
  </si>
  <si>
    <t>Total Installed Cost</t>
  </si>
  <si>
    <t>1.9</t>
  </si>
  <si>
    <t>1.8 Decomissioning</t>
  </si>
  <si>
    <t>1.9 Contingency</t>
  </si>
  <si>
    <t>Average number of interventions per machine and year</t>
  </si>
  <si>
    <t>Estimated Required Vessel Crew</t>
  </si>
  <si>
    <t>Estimated Deck Crew</t>
  </si>
  <si>
    <t>Estimated 24-hour cost for crew</t>
  </si>
  <si>
    <t>Fuel and Consumables</t>
  </si>
  <si>
    <t>Total Ops day-rate</t>
  </si>
  <si>
    <t>2 - Assumes that crew is local and no per-diem charges are incurred</t>
  </si>
  <si>
    <t>Determining Ops Day-rate</t>
  </si>
  <si>
    <t>3 - Fuel assumed at $3.2 per gallon</t>
  </si>
  <si>
    <t>1 - this is based on average rate for independent contractor personnel. If Owner has some in-house crew, some cost savings could be attained.</t>
  </si>
  <si>
    <t>Average Vessel Utilization</t>
  </si>
  <si>
    <t>1 - This includes downtime due to weather windows and operational contingency.  I.e. not all failure events occur spread-out evenly over the year.</t>
  </si>
  <si>
    <t>2 - No operational plan optimization was carried out.  Design features and associated operational processes are not well-enough defined to do that.</t>
  </si>
  <si>
    <t># Deployment/Recovery Operations per year</t>
  </si>
  <si>
    <t>Operational Cost per Intervention</t>
  </si>
  <si>
    <t>Computing Annual Marine Operational Cost</t>
  </si>
  <si>
    <r>
      <rPr>
        <b/>
        <sz val="11"/>
        <color theme="1"/>
        <rFont val="Calibri"/>
        <family val="2"/>
        <scheme val="minor"/>
      </rPr>
      <t>References</t>
    </r>
    <r>
      <rPr>
        <sz val="11"/>
        <color theme="1"/>
        <rFont val="Calibri"/>
        <family val="2"/>
        <scheme val="minor"/>
      </rPr>
      <t>: Shoreside operations is in section 2.6.4</t>
    </r>
  </si>
  <si>
    <t>Adjust Rate based on Consumber Price Index from 2006 to 20012</t>
  </si>
  <si>
    <t>CPI Factor</t>
  </si>
  <si>
    <t>Adjusted for 2012</t>
  </si>
  <si>
    <t xml:space="preserve"> - Cost from previous projects in the Pacific Northwest</t>
  </si>
  <si>
    <t>Mobe Vessel</t>
  </si>
  <si>
    <t xml:space="preserve">Transit to site </t>
  </si>
  <si>
    <t>Install Cable between 2-devices</t>
  </si>
  <si>
    <t>Splice Cables</t>
  </si>
  <si>
    <t>transit back to Home port</t>
  </si>
  <si>
    <t xml:space="preserve">Operational Contingency (weather included) </t>
  </si>
  <si>
    <t>$/turbine-yr</t>
  </si>
  <si>
    <t>occurs at the end of the 20-year project life, having a minimal impact on the cost of electricty from this plant.  Decomissioning costs are not represented in the CoE assessment.</t>
  </si>
  <si>
    <t>MACRS Depreciation</t>
  </si>
  <si>
    <t>Construction Finance Rate</t>
  </si>
  <si>
    <t>Effective Tax Rate</t>
  </si>
  <si>
    <t>Technical Input Parameters</t>
  </si>
  <si>
    <t>Average Current Speed</t>
  </si>
  <si>
    <t>m/s</t>
  </si>
  <si>
    <t>Average Power Flux</t>
  </si>
  <si>
    <t>kW/m^2</t>
  </si>
  <si>
    <t>Peak Current Speed</t>
  </si>
  <si>
    <t>Max Power Flux</t>
  </si>
  <si>
    <t>Turbine Parameters</t>
  </si>
  <si>
    <t>Rotors per Turbine</t>
  </si>
  <si>
    <t>Rotor Depth</t>
  </si>
  <si>
    <t>Gearbox Efficiency</t>
  </si>
  <si>
    <t>Generator Efficiency</t>
  </si>
  <si>
    <t>Energy Extraction</t>
  </si>
  <si>
    <t>Average Extracted Power</t>
  </si>
  <si>
    <t>Average Electric Power</t>
  </si>
  <si>
    <t>Rated Electric Power</t>
  </si>
  <si>
    <t xml:space="preserve">Machine Capacity Factor </t>
  </si>
  <si>
    <t>Array Parameters</t>
  </si>
  <si>
    <t># of US homes equivalent</t>
  </si>
  <si>
    <t>Array/Turbine Availability</t>
  </si>
  <si>
    <t>Rotor Area</t>
  </si>
  <si>
    <t>Velocity</t>
  </si>
  <si>
    <t xml:space="preserve">Freq. </t>
  </si>
  <si>
    <t>CP</t>
  </si>
  <si>
    <t>P fluid</t>
  </si>
  <si>
    <t>P Rotor</t>
  </si>
  <si>
    <t>P Electric</t>
  </si>
  <si>
    <t>Energy</t>
  </si>
  <si>
    <t>MWh/year</t>
  </si>
  <si>
    <t>Resource and Performance Outputs</t>
  </si>
  <si>
    <t>Site Resource Parameters</t>
  </si>
  <si>
    <t>Generator Rated Capacity</t>
  </si>
  <si>
    <t>Economic Parameters (Utility Generator Model)</t>
  </si>
  <si>
    <t>State Tax Rate</t>
  </si>
  <si>
    <t>Return on Equity</t>
  </si>
  <si>
    <t>Equity</t>
  </si>
  <si>
    <t>Debt</t>
  </si>
  <si>
    <t>Return on Debt</t>
  </si>
  <si>
    <t>Federal Tax Rate</t>
  </si>
  <si>
    <t>Plant Life (years)</t>
  </si>
  <si>
    <t>Year 1</t>
  </si>
  <si>
    <t>Year 2</t>
  </si>
  <si>
    <t>Year 3</t>
  </si>
  <si>
    <t>Year 4</t>
  </si>
  <si>
    <t>Year 5</t>
  </si>
  <si>
    <t>Year 6</t>
  </si>
  <si>
    <t>PVdepr</t>
  </si>
  <si>
    <t>Construction Cost Multiplier (CCMult)</t>
  </si>
  <si>
    <t>Weighted Average Cost of Capital (After tax)</t>
  </si>
  <si>
    <t>% Construction Spending during Year 0</t>
  </si>
  <si>
    <t>% Construction Spending during Year 1</t>
  </si>
  <si>
    <t>Annual Construction Multiplier - Year 1</t>
  </si>
  <si>
    <t>Annual Construction Multiplier - Year 2</t>
  </si>
  <si>
    <t>CCmult*CRF*(1-T*PVdepr)/(1-T)</t>
  </si>
  <si>
    <t xml:space="preserve">  1+(1-T)*[ (1+ (Construction Finance Rate))^(t+0.5) - 1 ]</t>
  </si>
  <si>
    <t>Capital Recovery Factor (WACC,Plant Life)</t>
  </si>
  <si>
    <t>Fixed Charge Rate</t>
  </si>
  <si>
    <t>Plant Rated Capacity (MW)</t>
  </si>
  <si>
    <t>Total Annual OPEX</t>
  </si>
  <si>
    <t>Plant Rated Capacity (kW)</t>
  </si>
  <si>
    <t>MWh/Year</t>
  </si>
  <si>
    <t>Distrib.</t>
  </si>
  <si>
    <t>kWh/year</t>
  </si>
  <si>
    <t xml:space="preserve">10% is used because that is what offshore wind has been using.    </t>
  </si>
  <si>
    <t># Ops-days per year</t>
  </si>
  <si>
    <t>RE Vision Estimate</t>
  </si>
  <si>
    <t>$/tonne</t>
  </si>
  <si>
    <t>Unknown</t>
  </si>
  <si>
    <t>1-Unit Weight</t>
  </si>
  <si>
    <t xml:space="preserve">Mobe Vessels </t>
  </si>
  <si>
    <t>Transit from home port to Florida Port</t>
  </si>
  <si>
    <t>Load Moorings</t>
  </si>
  <si>
    <t>Transit to site</t>
  </si>
  <si>
    <t>Setup 4-Point Moor</t>
  </si>
  <si>
    <t>Install SEPLA mooring leg</t>
  </si>
  <si>
    <t>Install Thrust Mooring</t>
  </si>
  <si>
    <t>Pull-down buoyancy Tank</t>
  </si>
  <si>
    <t>Final Rigging</t>
  </si>
  <si>
    <t>Transit to home port</t>
  </si>
  <si>
    <t xml:space="preserve">Demobe </t>
  </si>
  <si>
    <t>Operational Contingency (weather included)</t>
  </si>
  <si>
    <t>Is part of the installation process =&gt; Same dayrate as in 1.7.5</t>
  </si>
  <si>
    <t>10-100 Units</t>
  </si>
  <si>
    <t>Actual cost breakdowns are provided in separate report by PNNL (average values carried forward to this spreadsheet)</t>
  </si>
  <si>
    <t>Note: Inputs shown in green</t>
  </si>
  <si>
    <t>RE Vision Consulting, LLC</t>
  </si>
  <si>
    <t>Total Weight Breakdown (metric tonnes)</t>
  </si>
  <si>
    <t>3250m of Polyester mooring line</t>
  </si>
  <si>
    <t>100m of Polyester mooring line</t>
  </si>
  <si>
    <t xml:space="preserve">750m of Polyester mooring line </t>
  </si>
  <si>
    <t>Decomminssioning</t>
  </si>
  <si>
    <t>Cost Basis in $'s</t>
  </si>
  <si>
    <t>Capex and Opex Table Rounding</t>
  </si>
  <si>
    <t># of digits to zero</t>
  </si>
  <si>
    <t>$ / kW</t>
  </si>
  <si>
    <t>cents/kWh</t>
  </si>
  <si>
    <t>%</t>
  </si>
  <si>
    <t>$ / kW-yr</t>
  </si>
  <si>
    <t>Environmental Monitoring &amp; Regulatory Compliance</t>
  </si>
  <si>
    <t>Total Cost / yr</t>
  </si>
  <si>
    <t>Device</t>
  </si>
  <si>
    <t>Operation and Maintenance</t>
  </si>
  <si>
    <t>Opex</t>
  </si>
  <si>
    <t>Capex &amp; Opex</t>
  </si>
  <si>
    <t># of Units</t>
  </si>
  <si>
    <t>Installed Capacity (kW)</t>
  </si>
  <si>
    <t>Installed Capacity (MW)</t>
  </si>
  <si>
    <t>Mean Velocity</t>
  </si>
  <si>
    <t>Peak Velocity</t>
  </si>
  <si>
    <t>Avg Power Flux</t>
  </si>
  <si>
    <t>LCoE</t>
  </si>
  <si>
    <t>Sensitvity Graphs</t>
  </si>
  <si>
    <t>Value</t>
  </si>
  <si>
    <t>RESULTS</t>
  </si>
  <si>
    <t>Rotor Hub Casting</t>
  </si>
  <si>
    <t>Potentially modify progress ratio</t>
  </si>
  <si>
    <t>Buoyancy Control</t>
  </si>
  <si>
    <t>Data Sources</t>
  </si>
  <si>
    <t>PNNL - Detailed in Separate Document</t>
  </si>
  <si>
    <t>RE Vision</t>
  </si>
  <si>
    <t xml:space="preserve">RE Vision </t>
  </si>
  <si>
    <t>N/A</t>
  </si>
  <si>
    <t>Specifications of Mooring Design available in main report</t>
  </si>
  <si>
    <t>Connections not detailed out - applied percentage based on similar experience</t>
  </si>
  <si>
    <t>Vendor Estimates</t>
  </si>
  <si>
    <t>RE Vision Estimate based on similar experience</t>
  </si>
  <si>
    <t>Structural Design Details can be found in the main report</t>
  </si>
  <si>
    <t xml:space="preserve">Concept design did not allow to refine all design details.  Used 10% of structural cost to account for ssmaller items such as device access, connecting elements etc. </t>
  </si>
  <si>
    <t>RE Vision Estimate using Process Cost Model</t>
  </si>
  <si>
    <t>RE Vision Estimate from similar experience</t>
  </si>
  <si>
    <t>Cost Estimating Notes:</t>
  </si>
  <si>
    <t>In reality, a figure closer to 25% - 30% is probably more realistic at single unit scale.</t>
  </si>
  <si>
    <t>RE Vision Assumption</t>
  </si>
  <si>
    <t xml:space="preserve">RE Vision Estimate </t>
  </si>
  <si>
    <t>RE Vision Estimate from Pacific Northwest Subsea Cable Project</t>
  </si>
  <si>
    <t>Decomissioning costs are assumed to be the same as the installation costs, because similar operational procedures will be used to remove the plant hardware as for the installation process.  The key difference is that decomissioning</t>
  </si>
  <si>
    <t xml:space="preserve">Contingency captures unknown unknowns.  Given the conceptual level of design, it is likely that quite a few items are not well understood and hence costs are under-predicted.   </t>
  </si>
  <si>
    <t xml:space="preserve">Insurance cost is a direct function of the perceived risk of a project.  Offshore Oil &amp; Gas project are typically on the order of 2% of CAPEX.  These are one-off construction projects with a relatively high risk profile (oil-spill potential etc.). </t>
  </si>
  <si>
    <t xml:space="preserve"> On the other end of the spectrum is land-based wind that is technologically mature with typical insurance rates on the order of 0.5%.  The assumption is that for 1 and 10-unit deployment scales technology is relatively immature</t>
  </si>
  <si>
    <t xml:space="preserve">It is also assumed that no investor will take the risk of building a 100-unit farm unless technology risks are perceived as being really small. </t>
  </si>
  <si>
    <t>RE Vision Estimate based on related project experience</t>
  </si>
  <si>
    <t>PNNL developed a detailed cost build-up outlined in a separate report</t>
  </si>
  <si>
    <t>Day(s) per mooring</t>
  </si>
  <si>
    <t>$ / Day</t>
  </si>
  <si>
    <t>Standby (15 %)</t>
  </si>
  <si>
    <t>a) New Orleans to Ft Laud</t>
  </si>
  <si>
    <t>b) Ft Laud to Job Site</t>
  </si>
  <si>
    <t>c) Mobilization</t>
  </si>
  <si>
    <t>d) Load Cable</t>
  </si>
  <si>
    <t>e) Shore End Cable</t>
  </si>
  <si>
    <t xml:space="preserve">f) Lay Trunk Cable </t>
  </si>
  <si>
    <t>g) End for End Trunk Cable</t>
  </si>
  <si>
    <t>h) Connection to first device</t>
  </si>
  <si>
    <t>l) Shore-end cost</t>
  </si>
  <si>
    <t>k) Mobilization Charges</t>
  </si>
  <si>
    <t>i) Demobilization</t>
  </si>
  <si>
    <t>j) Contingency (15%)</t>
  </si>
  <si>
    <t># Required for Ops</t>
  </si>
  <si>
    <t># Required for Ops per Shift</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</si>
</sst>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0.000000"/>
    <numFmt numFmtId="165" formatCode="&quot;$&quot;#,##0"/>
    <numFmt numFmtId="166" formatCode="0.0%"/>
    <numFmt numFmtId="167" formatCode="0.0"/>
    <numFmt numFmtId="168" formatCode="&quot;$&quot;#,##0.00"/>
    <numFmt numFmtId="169" formatCode="_(&quot;$&quot;* #,##0_);_(&quot;$&quot;* \(#,##0\);_(&quot;$&quot;* &quot;-&quot;??_);_(@_)"/>
    <numFmt numFmtId="170" formatCode="#,##0.0"/>
    <numFmt numFmtId="171" formatCode="0.0000"/>
    <numFmt numFmtId="172" formatCode="0.000"/>
    <numFmt numFmtId="173" formatCode="#,##0.000"/>
    <numFmt numFmtId="174" formatCode="[$$-409]#,##0_);\([$$-409]#,##0\)"/>
    <numFmt numFmtId="175" formatCode="0.000000000000000%"/>
    <numFmt numFmtId="176" formatCode="#,##0.0_);\(#,##0.0\)"/>
  </numFmts>
  <fonts count="46" x14ac:knownFonts="1">
    <font>
      <sz val="11"/>
      <color theme="1"/>
      <name val="Calibri"/>
      <family val="2"/>
      <scheme val="minor"/>
    </font>
    <font>
      <b/>
      <u/>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Calibri"/>
      <family val="2"/>
      <scheme val="minor"/>
    </font>
    <font>
      <b/>
      <sz val="10"/>
      <name val="Arial"/>
      <family val="2"/>
    </font>
    <font>
      <sz val="14"/>
      <name val="Arial"/>
      <family val="2"/>
    </font>
    <font>
      <sz val="11"/>
      <color theme="1"/>
      <name val="Times New Roman"/>
      <family val="1"/>
    </font>
    <font>
      <sz val="10"/>
      <color theme="1"/>
      <name val="Times New Roman"/>
      <family val="1"/>
    </font>
    <font>
      <b/>
      <sz val="11"/>
      <color theme="1"/>
      <name val="Times New Roman"/>
      <family val="1"/>
    </font>
    <font>
      <b/>
      <sz val="12"/>
      <name val="Arial"/>
      <family val="2"/>
    </font>
    <font>
      <i/>
      <sz val="10"/>
      <name val="Arial"/>
      <family val="2"/>
    </font>
    <font>
      <sz val="11"/>
      <color indexed="8"/>
      <name val="Calibri"/>
      <family val="2"/>
      <scheme val="minor"/>
    </font>
    <font>
      <sz val="10"/>
      <color theme="1"/>
      <name val="Arial"/>
      <family val="2"/>
    </font>
    <font>
      <sz val="11"/>
      <name val="Calibri"/>
      <family val="2"/>
      <scheme val="minor"/>
    </font>
    <font>
      <b/>
      <sz val="12"/>
      <color theme="1"/>
      <name val="Calibri"/>
      <family val="2"/>
      <scheme val="minor"/>
    </font>
    <font>
      <sz val="11"/>
      <name val="Arial"/>
      <family val="2"/>
    </font>
    <font>
      <b/>
      <sz val="11"/>
      <name val="Arial"/>
      <family val="2"/>
    </font>
    <font>
      <i/>
      <sz val="11"/>
      <color theme="1"/>
      <name val="Calibri"/>
      <family val="2"/>
      <scheme val="minor"/>
    </font>
    <font>
      <u/>
      <sz val="11"/>
      <color theme="10"/>
      <name val="Calibri"/>
      <family val="2"/>
      <scheme val="minor"/>
    </font>
    <font>
      <u/>
      <sz val="10"/>
      <color indexed="12"/>
      <name val="Arial"/>
      <family val="2"/>
    </font>
    <font>
      <sz val="10"/>
      <color indexed="8"/>
      <name val="Arial"/>
      <family val="2"/>
    </font>
    <font>
      <sz val="10"/>
      <color indexed="10"/>
      <name val="Arial"/>
      <family val="2"/>
    </font>
    <font>
      <sz val="10"/>
      <color indexed="9"/>
      <name val="Arial"/>
      <family val="2"/>
    </font>
    <font>
      <u/>
      <sz val="11"/>
      <name val="Arial"/>
      <family val="2"/>
    </font>
    <font>
      <sz val="11"/>
      <color theme="1"/>
      <name val="Arial"/>
      <family val="2"/>
    </font>
    <font>
      <i/>
      <sz val="11"/>
      <name val="Calibri"/>
      <family val="2"/>
      <scheme val="minor"/>
    </font>
    <font>
      <b/>
      <sz val="10"/>
      <color theme="1"/>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3" tint="0.79998168889431442"/>
        <bgColor indexed="64"/>
      </patternFill>
    </fill>
    <fill>
      <patternFill patternType="solid">
        <fgColor indexed="22"/>
        <bgColor indexed="64"/>
      </patternFill>
    </fill>
    <fill>
      <patternFill patternType="solid">
        <fgColor theme="6" tint="0.39997558519241921"/>
        <bgColor indexed="64"/>
      </patternFill>
    </fill>
    <fill>
      <patternFill patternType="solid">
        <fgColor theme="0" tint="-0.249977111117893"/>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150">
    <xf numFmtId="0" fontId="0" fillId="0" borderId="0"/>
    <xf numFmtId="164" fontId="4" fillId="0" borderId="0">
      <alignment horizontal="left" wrapText="1"/>
    </xf>
    <xf numFmtId="9" fontId="4" fillId="0" borderId="0" applyFont="0" applyFill="0" applyBorder="0" applyAlignment="0" applyProtection="0"/>
    <xf numFmtId="0" fontId="4" fillId="0" borderId="0"/>
    <xf numFmtId="43" fontId="4" fillId="0" borderId="0" applyFont="0" applyFill="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 fillId="0" borderId="0"/>
    <xf numFmtId="0" fontId="5" fillId="23" borderId="7" applyNumberFormat="0" applyFont="0" applyAlignment="0" applyProtection="0"/>
    <xf numFmtId="0" fontId="18" fillId="20" borderId="8" applyNumberFormat="0" applyAlignment="0" applyProtection="0"/>
    <xf numFmtId="9" fontId="4" fillId="0" borderId="0" applyFont="0" applyFill="0" applyBorder="0" applyAlignment="0" applyProtection="0"/>
    <xf numFmtId="9" fontId="2"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2" fillId="0" borderId="0"/>
    <xf numFmtId="0" fontId="5" fillId="0" borderId="0"/>
    <xf numFmtId="0" fontId="2" fillId="0" borderId="0"/>
    <xf numFmtId="9" fontId="2" fillId="0" borderId="0" applyFont="0" applyFill="0" applyBorder="0" applyAlignment="0" applyProtection="0"/>
    <xf numFmtId="0" fontId="4" fillId="0" borderId="0"/>
    <xf numFmtId="164" fontId="4" fillId="0" borderId="0">
      <alignment horizontal="left" wrapText="1"/>
    </xf>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1" fillId="0" borderId="0" applyNumberFormat="0" applyFill="0" applyBorder="0" applyAlignment="0" applyProtection="0"/>
    <xf numFmtId="0" fontId="4"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4" fontId="2"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4" fillId="0" borderId="0"/>
    <xf numFmtId="0" fontId="4" fillId="0" borderId="0"/>
    <xf numFmtId="0" fontId="4" fillId="0" borderId="0"/>
    <xf numFmtId="0" fontId="4" fillId="0" borderId="0"/>
    <xf numFmtId="166" fontId="4" fillId="0" borderId="0" applyFont="0" applyFill="0" applyBorder="0" applyAlignment="0" applyProtection="0"/>
    <xf numFmtId="164" fontId="4" fillId="0" borderId="0">
      <alignment horizontal="left" wrapText="1"/>
    </xf>
    <xf numFmtId="164" fontId="4" fillId="0" borderId="0">
      <alignment horizontal="left" wrapText="1"/>
    </xf>
    <xf numFmtId="164" fontId="4" fillId="0" borderId="0">
      <alignment horizontal="left" wrapText="1"/>
    </xf>
    <xf numFmtId="164" fontId="4" fillId="0" borderId="0">
      <alignment horizontal="left" wrapText="1"/>
    </xf>
    <xf numFmtId="164" fontId="4" fillId="0" borderId="0">
      <alignment horizontal="left" wrapText="1"/>
    </xf>
    <xf numFmtId="164" fontId="4" fillId="0" borderId="0">
      <alignment horizontal="left" wrapText="1"/>
    </xf>
    <xf numFmtId="164" fontId="4" fillId="0" borderId="0">
      <alignment horizontal="left" wrapText="1"/>
    </xf>
    <xf numFmtId="164" fontId="4" fillId="0" borderId="0">
      <alignment horizontal="left" wrapText="1"/>
    </xf>
    <xf numFmtId="164" fontId="4" fillId="0" borderId="0">
      <alignment horizontal="left" wrapText="1"/>
    </xf>
  </cellStyleXfs>
  <cellXfs count="549">
    <xf numFmtId="0" fontId="0" fillId="0" borderId="0" xfId="0"/>
    <xf numFmtId="0" fontId="0" fillId="0" borderId="0" xfId="0" applyAlignment="1">
      <alignment horizontal="left"/>
    </xf>
    <xf numFmtId="0" fontId="0" fillId="0" borderId="0" xfId="0" applyNumberFormat="1" applyAlignment="1">
      <alignment horizontal="left"/>
    </xf>
    <xf numFmtId="0" fontId="1" fillId="0" borderId="0" xfId="0" applyFont="1" applyAlignment="1">
      <alignment horizontal="left"/>
    </xf>
    <xf numFmtId="42" fontId="0" fillId="0" borderId="0" xfId="0" applyNumberFormat="1" applyFill="1"/>
    <xf numFmtId="0" fontId="0" fillId="0" borderId="0" xfId="0"/>
    <xf numFmtId="0" fontId="0" fillId="0" borderId="0" xfId="0" applyFill="1"/>
    <xf numFmtId="0" fontId="0" fillId="0" borderId="0" xfId="0"/>
    <xf numFmtId="165" fontId="0" fillId="0" borderId="0" xfId="0" applyNumberFormat="1"/>
    <xf numFmtId="42" fontId="0" fillId="0" borderId="0" xfId="0" applyNumberFormat="1"/>
    <xf numFmtId="0" fontId="3" fillId="0" borderId="0" xfId="0" applyFont="1"/>
    <xf numFmtId="0" fontId="4" fillId="0" borderId="0" xfId="1" applyNumberFormat="1" applyAlignment="1"/>
    <xf numFmtId="0" fontId="23" fillId="0" borderId="0" xfId="1" applyNumberFormat="1" applyFont="1" applyAlignment="1"/>
    <xf numFmtId="0" fontId="4" fillId="0" borderId="0" xfId="1" applyNumberFormat="1" applyFont="1" applyAlignment="1"/>
    <xf numFmtId="168" fontId="0" fillId="0" borderId="0" xfId="0" applyNumberFormat="1"/>
    <xf numFmtId="1" fontId="0" fillId="0" borderId="0" xfId="0" applyNumberFormat="1"/>
    <xf numFmtId="44" fontId="0" fillId="0" borderId="0" xfId="0" applyNumberFormat="1"/>
    <xf numFmtId="0" fontId="0" fillId="0" borderId="0" xfId="0"/>
    <xf numFmtId="0" fontId="3" fillId="0" borderId="0" xfId="0" applyFont="1"/>
    <xf numFmtId="0" fontId="0" fillId="0" borderId="0" xfId="0" applyAlignment="1">
      <alignment horizontal="right"/>
    </xf>
    <xf numFmtId="0" fontId="0" fillId="0" borderId="0" xfId="0" applyFont="1"/>
    <xf numFmtId="0" fontId="0" fillId="0" borderId="0" xfId="0" applyBorder="1"/>
    <xf numFmtId="0" fontId="0" fillId="0" borderId="0" xfId="0" applyFill="1" applyBorder="1"/>
    <xf numFmtId="165" fontId="0" fillId="0" borderId="0" xfId="0" applyNumberFormat="1"/>
    <xf numFmtId="9" fontId="0" fillId="0" borderId="0" xfId="0" applyNumberFormat="1"/>
    <xf numFmtId="1" fontId="0" fillId="0" borderId="0" xfId="0" applyNumberFormat="1"/>
    <xf numFmtId="3" fontId="0" fillId="0" borderId="0" xfId="0" applyNumberFormat="1"/>
    <xf numFmtId="0" fontId="0" fillId="0" borderId="19" xfId="0" applyBorder="1"/>
    <xf numFmtId="165" fontId="0" fillId="0" borderId="19" xfId="0" applyNumberFormat="1" applyBorder="1"/>
    <xf numFmtId="3" fontId="0" fillId="0" borderId="19" xfId="0" applyNumberFormat="1" applyBorder="1"/>
    <xf numFmtId="167" fontId="0" fillId="0" borderId="0" xfId="0" applyNumberFormat="1"/>
    <xf numFmtId="168" fontId="0" fillId="0" borderId="0" xfId="0" applyNumberFormat="1"/>
    <xf numFmtId="0" fontId="25" fillId="0" borderId="0" xfId="0" applyFont="1"/>
    <xf numFmtId="10" fontId="0" fillId="0" borderId="0" xfId="0" applyNumberFormat="1"/>
    <xf numFmtId="0" fontId="25" fillId="0" borderId="0" xfId="0" applyFont="1" applyBorder="1"/>
    <xf numFmtId="0" fontId="0" fillId="24" borderId="0" xfId="0" applyFill="1" applyBorder="1"/>
    <xf numFmtId="0" fontId="28" fillId="24" borderId="21" xfId="0" applyNumberFormat="1" applyFont="1" applyFill="1" applyBorder="1" applyAlignment="1" applyProtection="1">
      <alignment horizontal="left" wrapText="1"/>
    </xf>
    <xf numFmtId="0" fontId="0" fillId="24" borderId="0" xfId="0" applyFill="1"/>
    <xf numFmtId="0" fontId="0" fillId="24" borderId="24" xfId="0" applyNumberFormat="1" applyFill="1" applyBorder="1" applyAlignment="1" applyProtection="1"/>
    <xf numFmtId="3" fontId="0" fillId="24" borderId="20" xfId="0" applyNumberFormat="1" applyFill="1" applyBorder="1" applyAlignment="1" applyProtection="1">
      <protection locked="0"/>
    </xf>
    <xf numFmtId="0" fontId="0" fillId="24" borderId="20" xfId="0" applyNumberFormat="1" applyFill="1" applyBorder="1" applyAlignment="1" applyProtection="1">
      <alignment horizontal="center"/>
      <protection locked="0"/>
    </xf>
    <xf numFmtId="169" fontId="0" fillId="24" borderId="0" xfId="133" applyNumberFormat="1" applyFont="1" applyFill="1" applyBorder="1" applyProtection="1"/>
    <xf numFmtId="0" fontId="4" fillId="24" borderId="20" xfId="0" applyNumberFormat="1" applyFont="1" applyFill="1" applyBorder="1" applyAlignment="1" applyProtection="1">
      <alignment horizontal="center"/>
      <protection locked="0"/>
    </xf>
    <xf numFmtId="3" fontId="0" fillId="24" borderId="24" xfId="133" applyNumberFormat="1" applyFont="1" applyFill="1" applyBorder="1" applyAlignment="1" applyProtection="1">
      <alignment horizontal="right"/>
    </xf>
    <xf numFmtId="3" fontId="0" fillId="24" borderId="0" xfId="133" applyNumberFormat="1" applyFont="1" applyFill="1" applyBorder="1" applyAlignment="1" applyProtection="1">
      <alignment horizontal="right"/>
    </xf>
    <xf numFmtId="3" fontId="0" fillId="24" borderId="12" xfId="0" applyNumberFormat="1" applyFill="1" applyBorder="1" applyAlignment="1" applyProtection="1">
      <protection locked="0"/>
    </xf>
    <xf numFmtId="0" fontId="0" fillId="24" borderId="12" xfId="0" applyNumberFormat="1" applyFill="1" applyBorder="1" applyAlignment="1" applyProtection="1">
      <alignment horizontal="center"/>
      <protection locked="0"/>
    </xf>
    <xf numFmtId="0" fontId="4" fillId="24" borderId="12" xfId="0" applyNumberFormat="1" applyFont="1" applyFill="1" applyBorder="1" applyAlignment="1" applyProtection="1">
      <alignment horizontal="center"/>
      <protection locked="0"/>
    </xf>
    <xf numFmtId="3" fontId="4" fillId="24" borderId="24" xfId="133" applyNumberFormat="1" applyFont="1" applyFill="1" applyBorder="1" applyAlignment="1" applyProtection="1">
      <alignment horizontal="right"/>
    </xf>
    <xf numFmtId="2" fontId="0" fillId="24" borderId="12" xfId="0" applyNumberFormat="1" applyFill="1" applyBorder="1" applyAlignment="1" applyProtection="1">
      <protection locked="0"/>
    </xf>
    <xf numFmtId="44" fontId="0" fillId="24" borderId="0" xfId="133" applyFont="1" applyFill="1" applyBorder="1" applyProtection="1"/>
    <xf numFmtId="3" fontId="0" fillId="24" borderId="14" xfId="133" applyNumberFormat="1" applyFont="1" applyFill="1" applyBorder="1" applyAlignment="1" applyProtection="1">
      <alignment horizontal="right"/>
    </xf>
    <xf numFmtId="3" fontId="0" fillId="24" borderId="19" xfId="133" applyNumberFormat="1" applyFont="1" applyFill="1" applyBorder="1" applyAlignment="1" applyProtection="1">
      <alignment horizontal="right"/>
    </xf>
    <xf numFmtId="0" fontId="23" fillId="24" borderId="10" xfId="0" applyNumberFormat="1" applyFont="1" applyFill="1" applyBorder="1" applyAlignment="1" applyProtection="1"/>
    <xf numFmtId="2" fontId="0" fillId="24" borderId="11" xfId="0" applyNumberFormat="1" applyFill="1" applyBorder="1" applyAlignment="1" applyProtection="1"/>
    <xf numFmtId="0" fontId="29" fillId="24" borderId="11" xfId="0" applyNumberFormat="1" applyFont="1" applyFill="1" applyBorder="1" applyAlignment="1" applyProtection="1">
      <alignment horizontal="right"/>
    </xf>
    <xf numFmtId="44" fontId="0" fillId="24" borderId="11" xfId="133" applyFont="1" applyFill="1" applyBorder="1" applyProtection="1"/>
    <xf numFmtId="0" fontId="0" fillId="24" borderId="10" xfId="0" applyNumberFormat="1" applyFill="1" applyBorder="1" applyAlignment="1" applyProtection="1">
      <alignment horizontal="center"/>
    </xf>
    <xf numFmtId="0" fontId="0" fillId="24" borderId="11" xfId="0" applyNumberFormat="1" applyFill="1" applyBorder="1" applyAlignment="1" applyProtection="1">
      <alignment horizontal="center"/>
    </xf>
    <xf numFmtId="0" fontId="0" fillId="24" borderId="13" xfId="0" applyNumberFormat="1" applyFill="1" applyBorder="1" applyAlignment="1" applyProtection="1">
      <alignment horizontal="center"/>
    </xf>
    <xf numFmtId="0" fontId="0" fillId="0" borderId="19" xfId="0" applyFont="1" applyBorder="1"/>
    <xf numFmtId="0" fontId="0" fillId="24" borderId="14" xfId="0" applyNumberFormat="1" applyFill="1" applyBorder="1" applyAlignment="1" applyProtection="1">
      <alignment wrapText="1"/>
    </xf>
    <xf numFmtId="0" fontId="0" fillId="24" borderId="24" xfId="0" applyFill="1" applyBorder="1"/>
    <xf numFmtId="3" fontId="0" fillId="0" borderId="0" xfId="0" applyNumberFormat="1" applyBorder="1"/>
    <xf numFmtId="0" fontId="0" fillId="24" borderId="12" xfId="0" applyFill="1" applyBorder="1"/>
    <xf numFmtId="0" fontId="0" fillId="0" borderId="12" xfId="0" applyBorder="1"/>
    <xf numFmtId="3" fontId="0" fillId="24" borderId="12" xfId="0" applyNumberFormat="1" applyFill="1" applyBorder="1"/>
    <xf numFmtId="3" fontId="0" fillId="0" borderId="12" xfId="0" applyNumberFormat="1" applyBorder="1"/>
    <xf numFmtId="0" fontId="3" fillId="0" borderId="12" xfId="0" applyFont="1" applyBorder="1"/>
    <xf numFmtId="165" fontId="0" fillId="0" borderId="0" xfId="0" applyNumberFormat="1" applyBorder="1"/>
    <xf numFmtId="168" fontId="0" fillId="0" borderId="0" xfId="0" applyNumberFormat="1" applyBorder="1"/>
    <xf numFmtId="9" fontId="0" fillId="0" borderId="0" xfId="0" applyNumberFormat="1" applyBorder="1"/>
    <xf numFmtId="0" fontId="0" fillId="0" borderId="0" xfId="0" applyFont="1" applyFill="1" applyBorder="1"/>
    <xf numFmtId="165" fontId="0" fillId="0" borderId="0" xfId="0" applyNumberFormat="1" applyFill="1" applyBorder="1"/>
    <xf numFmtId="0" fontId="3" fillId="0" borderId="0" xfId="0" applyFont="1" applyBorder="1"/>
    <xf numFmtId="170" fontId="0" fillId="0" borderId="0" xfId="0" applyNumberFormat="1" applyBorder="1"/>
    <xf numFmtId="4" fontId="0" fillId="0" borderId="0" xfId="0" applyNumberFormat="1" applyBorder="1"/>
    <xf numFmtId="2" fontId="0" fillId="0" borderId="0" xfId="0" applyNumberFormat="1"/>
    <xf numFmtId="0" fontId="0" fillId="0" borderId="0" xfId="0" applyNumberFormat="1"/>
    <xf numFmtId="170" fontId="0" fillId="0" borderId="0" xfId="0" applyNumberFormat="1"/>
    <xf numFmtId="3" fontId="0" fillId="0" borderId="0" xfId="0" applyNumberFormat="1" applyFill="1"/>
    <xf numFmtId="0" fontId="29" fillId="0" borderId="0" xfId="0" applyNumberFormat="1" applyFont="1" applyFill="1" applyBorder="1" applyAlignment="1" applyProtection="1">
      <alignment horizontal="center"/>
    </xf>
    <xf numFmtId="3" fontId="4" fillId="0" borderId="0" xfId="0" applyNumberFormat="1" applyFont="1" applyFill="1" applyBorder="1" applyAlignment="1" applyProtection="1">
      <alignment horizontal="right"/>
    </xf>
    <xf numFmtId="0" fontId="0" fillId="0" borderId="0" xfId="0"/>
    <xf numFmtId="0" fontId="0" fillId="0" borderId="0" xfId="0" applyAlignment="1">
      <alignment horizontal="left"/>
    </xf>
    <xf numFmtId="42" fontId="0" fillId="0" borderId="0" xfId="0" applyNumberFormat="1"/>
    <xf numFmtId="0" fontId="0" fillId="0" borderId="0" xfId="0" applyFill="1"/>
    <xf numFmtId="165" fontId="0" fillId="0" borderId="0" xfId="0" applyNumberFormat="1"/>
    <xf numFmtId="0" fontId="3" fillId="0" borderId="0" xfId="0" applyFont="1"/>
    <xf numFmtId="166" fontId="0" fillId="0" borderId="0" xfId="0" applyNumberFormat="1"/>
    <xf numFmtId="9" fontId="0" fillId="0" borderId="0" xfId="0" applyNumberFormat="1"/>
    <xf numFmtId="168" fontId="0" fillId="0" borderId="0" xfId="0" applyNumberFormat="1"/>
    <xf numFmtId="0" fontId="0" fillId="0" borderId="0" xfId="0" applyAlignment="1">
      <alignment horizontal="right"/>
    </xf>
    <xf numFmtId="10" fontId="0" fillId="0" borderId="0" xfId="0" applyNumberFormat="1"/>
    <xf numFmtId="0" fontId="0" fillId="0" borderId="0" xfId="0" applyFont="1" applyBorder="1"/>
    <xf numFmtId="165" fontId="0" fillId="0" borderId="0" xfId="0" applyNumberFormat="1" applyBorder="1"/>
    <xf numFmtId="2" fontId="0" fillId="0" borderId="0" xfId="0" applyNumberFormat="1"/>
    <xf numFmtId="0" fontId="0" fillId="0" borderId="0" xfId="0"/>
    <xf numFmtId="3" fontId="5" fillId="0" borderId="0" xfId="0" applyNumberFormat="1" applyFont="1" applyBorder="1" applyAlignment="1">
      <alignment vertical="top" wrapText="1"/>
    </xf>
    <xf numFmtId="0" fontId="0" fillId="0" borderId="0" xfId="0" applyFont="1" applyBorder="1" applyAlignment="1">
      <alignment horizontal="left"/>
    </xf>
    <xf numFmtId="0" fontId="30" fillId="0" borderId="0" xfId="0" applyFont="1" applyBorder="1" applyAlignment="1">
      <alignment vertical="top" wrapText="1"/>
    </xf>
    <xf numFmtId="0" fontId="0" fillId="0" borderId="0" xfId="0" applyFont="1" applyBorder="1" applyAlignment="1"/>
    <xf numFmtId="0" fontId="30" fillId="0" borderId="0" xfId="0" applyFont="1" applyBorder="1" applyAlignment="1">
      <alignment vertical="top"/>
    </xf>
    <xf numFmtId="0" fontId="5" fillId="0" borderId="0" xfId="0" applyFont="1" applyBorder="1" applyAlignment="1">
      <alignment vertical="top" wrapText="1"/>
    </xf>
    <xf numFmtId="3" fontId="0" fillId="0" borderId="0" xfId="0" applyNumberFormat="1"/>
    <xf numFmtId="0" fontId="0" fillId="0" borderId="0" xfId="0"/>
    <xf numFmtId="0" fontId="3" fillId="0" borderId="0" xfId="0" applyFont="1"/>
    <xf numFmtId="0" fontId="0" fillId="0" borderId="0" xfId="0" applyFont="1"/>
    <xf numFmtId="0" fontId="0" fillId="0" borderId="0" xfId="0" applyFill="1"/>
    <xf numFmtId="0" fontId="0" fillId="0" borderId="0" xfId="0" applyFill="1" applyBorder="1"/>
    <xf numFmtId="0" fontId="0" fillId="0" borderId="0" xfId="0" applyAlignment="1">
      <alignment horizontal="right"/>
    </xf>
    <xf numFmtId="42" fontId="0" fillId="0" borderId="0" xfId="0" applyNumberFormat="1"/>
    <xf numFmtId="44" fontId="0" fillId="0" borderId="0" xfId="0" applyNumberFormat="1"/>
    <xf numFmtId="0" fontId="0" fillId="0" borderId="0" xfId="0"/>
    <xf numFmtId="0" fontId="0" fillId="0" borderId="0" xfId="0" applyBorder="1"/>
    <xf numFmtId="167" fontId="0" fillId="0" borderId="0" xfId="0" applyNumberFormat="1" applyFill="1"/>
    <xf numFmtId="1" fontId="0" fillId="0" borderId="0" xfId="0" applyNumberFormat="1" applyAlignment="1">
      <alignment horizontal="center"/>
    </xf>
    <xf numFmtId="42" fontId="3" fillId="0" borderId="0" xfId="0" applyNumberFormat="1" applyFont="1" applyFill="1"/>
    <xf numFmtId="0" fontId="0" fillId="0" borderId="0" xfId="0"/>
    <xf numFmtId="0" fontId="3" fillId="0" borderId="0" xfId="0" applyFont="1" applyAlignment="1">
      <alignment horizontal="left"/>
    </xf>
    <xf numFmtId="0" fontId="3" fillId="24" borderId="12" xfId="0" applyFont="1" applyFill="1" applyBorder="1"/>
    <xf numFmtId="0" fontId="0" fillId="24" borderId="24" xfId="0" applyNumberFormat="1" applyFill="1" applyBorder="1" applyAlignment="1" applyProtection="1">
      <alignment horizontal="center"/>
      <protection locked="0"/>
    </xf>
    <xf numFmtId="0" fontId="0" fillId="24" borderId="14" xfId="0" applyNumberFormat="1" applyFill="1" applyBorder="1" applyAlignment="1" applyProtection="1">
      <alignment horizontal="center"/>
      <protection locked="0"/>
    </xf>
    <xf numFmtId="3" fontId="3" fillId="0" borderId="12" xfId="0" applyNumberFormat="1" applyFont="1" applyBorder="1"/>
    <xf numFmtId="0" fontId="3" fillId="24" borderId="0" xfId="0" applyFont="1" applyFill="1" applyBorder="1"/>
    <xf numFmtId="3" fontId="23" fillId="24" borderId="10" xfId="0" applyNumberFormat="1" applyFont="1" applyFill="1" applyBorder="1" applyAlignment="1" applyProtection="1">
      <alignment horizontal="right"/>
    </xf>
    <xf numFmtId="3" fontId="23" fillId="24" borderId="11" xfId="133" applyNumberFormat="1" applyFont="1" applyFill="1" applyBorder="1" applyAlignment="1" applyProtection="1">
      <alignment horizontal="right"/>
    </xf>
    <xf numFmtId="3" fontId="23" fillId="24" borderId="13" xfId="133" applyNumberFormat="1" applyFont="1" applyFill="1" applyBorder="1" applyAlignment="1" applyProtection="1">
      <alignment horizontal="right"/>
    </xf>
    <xf numFmtId="0" fontId="0" fillId="24" borderId="12" xfId="0" applyNumberFormat="1" applyFill="1" applyBorder="1" applyAlignment="1" applyProtection="1">
      <alignment horizontal="center"/>
    </xf>
    <xf numFmtId="0" fontId="24" fillId="24" borderId="0" xfId="1" applyNumberFormat="1" applyFont="1" applyFill="1" applyBorder="1" applyAlignment="1" applyProtection="1"/>
    <xf numFmtId="0" fontId="4" fillId="24" borderId="0" xfId="1" applyNumberFormat="1" applyFont="1" applyFill="1" applyBorder="1" applyAlignment="1" applyProtection="1"/>
    <xf numFmtId="173" fontId="0" fillId="0" borderId="0" xfId="0" applyNumberFormat="1"/>
    <xf numFmtId="0" fontId="23" fillId="0" borderId="0" xfId="1" applyNumberFormat="1" applyFont="1" applyBorder="1" applyAlignment="1"/>
    <xf numFmtId="0" fontId="4" fillId="0" borderId="0" xfId="1" applyNumberFormat="1" applyBorder="1" applyAlignment="1"/>
    <xf numFmtId="1" fontId="0" fillId="0" borderId="0" xfId="0" applyNumberFormat="1" applyBorder="1"/>
    <xf numFmtId="167" fontId="0" fillId="0" borderId="19" xfId="0" applyNumberFormat="1" applyBorder="1"/>
    <xf numFmtId="0" fontId="0" fillId="0" borderId="22" xfId="0" applyBorder="1"/>
    <xf numFmtId="0" fontId="0" fillId="0" borderId="22" xfId="0" applyBorder="1" applyAlignment="1">
      <alignment horizontal="left" vertical="center"/>
    </xf>
    <xf numFmtId="1" fontId="0" fillId="0" borderId="0" xfId="0" applyNumberFormat="1" applyFill="1" applyBorder="1" applyAlignment="1">
      <alignment horizontal="center"/>
    </xf>
    <xf numFmtId="42" fontId="0" fillId="0" borderId="0" xfId="0" applyNumberFormat="1" applyFill="1" applyBorder="1"/>
    <xf numFmtId="0" fontId="0" fillId="0" borderId="0" xfId="0" applyAlignment="1">
      <alignment wrapText="1"/>
    </xf>
    <xf numFmtId="0" fontId="0" fillId="0" borderId="0" xfId="0" applyAlignment="1">
      <alignment vertical="center"/>
    </xf>
    <xf numFmtId="0" fontId="0" fillId="0" borderId="0" xfId="0" applyBorder="1" applyAlignment="1">
      <alignment horizontal="left" vertical="top" wrapText="1"/>
    </xf>
    <xf numFmtId="0" fontId="33" fillId="0" borderId="0" xfId="0" applyFont="1"/>
    <xf numFmtId="0" fontId="0" fillId="0" borderId="0" xfId="0" applyFont="1" applyFill="1"/>
    <xf numFmtId="0" fontId="0" fillId="0" borderId="19" xfId="0" applyFill="1" applyBorder="1"/>
    <xf numFmtId="169" fontId="0" fillId="0" borderId="0" xfId="0" applyNumberFormat="1"/>
    <xf numFmtId="0" fontId="3" fillId="0" borderId="0" xfId="0" applyFont="1" applyFill="1"/>
    <xf numFmtId="0" fontId="0" fillId="0" borderId="0" xfId="0" applyFont="1" applyAlignment="1">
      <alignment horizontal="right"/>
    </xf>
    <xf numFmtId="0" fontId="0" fillId="0" borderId="0" xfId="0" applyFont="1" applyAlignment="1">
      <alignment horizontal="left"/>
    </xf>
    <xf numFmtId="0" fontId="26" fillId="0" borderId="0" xfId="0" applyFont="1" applyBorder="1"/>
    <xf numFmtId="0" fontId="26" fillId="0" borderId="0" xfId="0" applyFont="1" applyFill="1" applyBorder="1"/>
    <xf numFmtId="170" fontId="25" fillId="0" borderId="0" xfId="0" applyNumberFormat="1" applyFont="1" applyBorder="1" applyAlignment="1">
      <alignment horizontal="right"/>
    </xf>
    <xf numFmtId="167" fontId="0" fillId="0" borderId="0" xfId="0" applyNumberFormat="1" applyAlignment="1">
      <alignment horizontal="right"/>
    </xf>
    <xf numFmtId="165" fontId="0" fillId="0" borderId="0" xfId="0" applyNumberFormat="1" applyAlignment="1">
      <alignment horizontal="right"/>
    </xf>
    <xf numFmtId="0" fontId="34" fillId="0" borderId="0" xfId="1" applyNumberFormat="1" applyFont="1" applyAlignment="1"/>
    <xf numFmtId="167" fontId="34" fillId="0" borderId="0" xfId="1" applyNumberFormat="1" applyFont="1" applyAlignment="1"/>
    <xf numFmtId="0" fontId="35" fillId="0" borderId="0" xfId="1" applyNumberFormat="1" applyFont="1" applyAlignment="1"/>
    <xf numFmtId="1" fontId="0" fillId="0" borderId="0" xfId="0" applyNumberFormat="1" applyFill="1" applyAlignment="1">
      <alignment horizontal="center"/>
    </xf>
    <xf numFmtId="0" fontId="0" fillId="0" borderId="0" xfId="0" applyFont="1" applyAlignment="1">
      <alignment horizontal="left" vertical="center"/>
    </xf>
    <xf numFmtId="0" fontId="0" fillId="0" borderId="0" xfId="0" applyFont="1" applyAlignment="1">
      <alignment wrapText="1"/>
    </xf>
    <xf numFmtId="174" fontId="0" fillId="0" borderId="0" xfId="133" applyNumberFormat="1" applyFont="1" applyBorder="1"/>
    <xf numFmtId="165" fontId="0" fillId="0" borderId="0" xfId="133" applyNumberFormat="1" applyFont="1"/>
    <xf numFmtId="3" fontId="0" fillId="0" borderId="0" xfId="0" applyNumberFormat="1" applyFill="1" applyBorder="1"/>
    <xf numFmtId="0" fontId="34" fillId="24" borderId="10" xfId="1" applyNumberFormat="1" applyFont="1" applyFill="1" applyBorder="1" applyAlignment="1" applyProtection="1"/>
    <xf numFmtId="0" fontId="34" fillId="24" borderId="13" xfId="1" applyNumberFormat="1" applyFont="1" applyFill="1" applyBorder="1" applyAlignment="1" applyProtection="1"/>
    <xf numFmtId="0" fontId="34" fillId="24" borderId="12" xfId="1" applyNumberFormat="1" applyFont="1" applyFill="1" applyBorder="1" applyAlignment="1" applyProtection="1">
      <alignment horizontal="left" wrapText="1"/>
    </xf>
    <xf numFmtId="0" fontId="34" fillId="24" borderId="10" xfId="1" applyNumberFormat="1" applyFont="1" applyFill="1" applyBorder="1" applyAlignment="1" applyProtection="1">
      <alignment horizontal="left" wrapText="1"/>
    </xf>
    <xf numFmtId="0" fontId="34" fillId="24" borderId="15" xfId="1" applyNumberFormat="1" applyFont="1" applyFill="1" applyBorder="1" applyAlignment="1" applyProtection="1">
      <alignment horizontal="left"/>
    </xf>
    <xf numFmtId="0" fontId="34" fillId="24" borderId="16" xfId="1" applyNumberFormat="1" applyFont="1" applyFill="1" applyBorder="1" applyAlignment="1" applyProtection="1">
      <alignment horizontal="left"/>
    </xf>
    <xf numFmtId="1" fontId="34" fillId="24" borderId="17" xfId="1" applyNumberFormat="1" applyFont="1" applyFill="1" applyBorder="1" applyAlignment="1" applyProtection="1"/>
    <xf numFmtId="9" fontId="34" fillId="24" borderId="17" xfId="2" applyFont="1" applyFill="1" applyBorder="1" applyProtection="1"/>
    <xf numFmtId="172" fontId="34" fillId="24" borderId="15" xfId="2" applyNumberFormat="1" applyFont="1" applyFill="1" applyBorder="1" applyProtection="1"/>
    <xf numFmtId="173" fontId="34" fillId="0" borderId="15" xfId="1" applyNumberFormat="1" applyFont="1" applyBorder="1" applyAlignment="1"/>
    <xf numFmtId="0" fontId="34" fillId="25" borderId="18" xfId="1" applyNumberFormat="1" applyFont="1" applyFill="1" applyBorder="1" applyAlignment="1" applyProtection="1">
      <alignment horizontal="left"/>
    </xf>
    <xf numFmtId="0" fontId="34" fillId="25" borderId="17" xfId="1" applyNumberFormat="1" applyFont="1" applyFill="1" applyBorder="1" applyAlignment="1" applyProtection="1">
      <alignment horizontal="left"/>
    </xf>
    <xf numFmtId="1" fontId="34" fillId="25" borderId="17" xfId="1" applyNumberFormat="1" applyFont="1" applyFill="1" applyBorder="1" applyAlignment="1" applyProtection="1"/>
    <xf numFmtId="9" fontId="34" fillId="25" borderId="17" xfId="2" applyFont="1" applyFill="1" applyBorder="1" applyProtection="1"/>
    <xf numFmtId="172" fontId="34" fillId="25" borderId="18" xfId="2" applyNumberFormat="1" applyFont="1" applyFill="1" applyBorder="1" applyProtection="1"/>
    <xf numFmtId="0" fontId="34" fillId="25" borderId="0" xfId="1" applyNumberFormat="1" applyFont="1" applyFill="1" applyAlignment="1"/>
    <xf numFmtId="173" fontId="34" fillId="25" borderId="18" xfId="1" applyNumberFormat="1" applyFont="1" applyFill="1" applyBorder="1" applyAlignment="1"/>
    <xf numFmtId="0" fontId="34" fillId="24" borderId="18" xfId="1" applyNumberFormat="1" applyFont="1" applyFill="1" applyBorder="1" applyAlignment="1" applyProtection="1">
      <alignment horizontal="left"/>
    </xf>
    <xf numFmtId="0" fontId="34" fillId="24" borderId="17" xfId="1" applyNumberFormat="1" applyFont="1" applyFill="1" applyBorder="1" applyAlignment="1" applyProtection="1">
      <alignment horizontal="left"/>
    </xf>
    <xf numFmtId="172" fontId="34" fillId="24" borderId="18" xfId="2" applyNumberFormat="1" applyFont="1" applyFill="1" applyBorder="1" applyProtection="1"/>
    <xf numFmtId="0" fontId="34" fillId="24" borderId="0" xfId="1" applyNumberFormat="1" applyFont="1" applyFill="1" applyAlignment="1"/>
    <xf numFmtId="173" fontId="34" fillId="0" borderId="18" xfId="1" applyNumberFormat="1" applyFont="1" applyBorder="1" applyAlignment="1"/>
    <xf numFmtId="0" fontId="34" fillId="0" borderId="0" xfId="1" applyNumberFormat="1" applyFont="1" applyBorder="1" applyAlignment="1"/>
    <xf numFmtId="0" fontId="34" fillId="24" borderId="0" xfId="1" applyNumberFormat="1" applyFont="1" applyFill="1" applyBorder="1" applyAlignment="1"/>
    <xf numFmtId="172" fontId="34" fillId="24" borderId="20" xfId="2" applyNumberFormat="1" applyFont="1" applyFill="1" applyBorder="1" applyProtection="1"/>
    <xf numFmtId="0" fontId="34" fillId="0" borderId="19" xfId="1" applyNumberFormat="1" applyFont="1" applyBorder="1" applyAlignment="1"/>
    <xf numFmtId="173" fontId="34" fillId="0" borderId="20" xfId="1" applyNumberFormat="1" applyFont="1" applyBorder="1" applyAlignment="1"/>
    <xf numFmtId="0" fontId="34" fillId="24" borderId="12" xfId="1" applyNumberFormat="1" applyFont="1" applyFill="1" applyBorder="1" applyAlignment="1" applyProtection="1">
      <alignment horizontal="left"/>
    </xf>
    <xf numFmtId="0" fontId="34" fillId="24" borderId="13" xfId="1" applyNumberFormat="1" applyFont="1" applyFill="1" applyBorder="1" applyAlignment="1" applyProtection="1">
      <alignment horizontal="left"/>
    </xf>
    <xf numFmtId="167" fontId="34" fillId="24" borderId="13" xfId="1" applyNumberFormat="1" applyFont="1" applyFill="1" applyBorder="1" applyAlignment="1" applyProtection="1"/>
    <xf numFmtId="1" fontId="34" fillId="24" borderId="11" xfId="1" applyNumberFormat="1" applyFont="1" applyFill="1" applyBorder="1" applyAlignment="1" applyProtection="1"/>
    <xf numFmtId="0" fontId="34" fillId="0" borderId="11" xfId="1" applyNumberFormat="1" applyFont="1" applyBorder="1" applyAlignment="1"/>
    <xf numFmtId="0" fontId="34" fillId="0" borderId="12" xfId="1" applyNumberFormat="1" applyFont="1" applyBorder="1" applyAlignment="1"/>
    <xf numFmtId="167" fontId="34" fillId="24" borderId="0" xfId="1" applyNumberFormat="1" applyFont="1" applyFill="1" applyBorder="1" applyAlignment="1" applyProtection="1"/>
    <xf numFmtId="2" fontId="34" fillId="0" borderId="11" xfId="1" applyNumberFormat="1" applyFont="1" applyBorder="1" applyAlignment="1"/>
    <xf numFmtId="5" fontId="3" fillId="0" borderId="0" xfId="0" applyNumberFormat="1" applyFont="1" applyFill="1"/>
    <xf numFmtId="42" fontId="0" fillId="0" borderId="0" xfId="0" applyNumberFormat="1" applyFont="1" applyFill="1"/>
    <xf numFmtId="42" fontId="22" fillId="0" borderId="0" xfId="0" applyNumberFormat="1" applyFont="1" applyFill="1"/>
    <xf numFmtId="2" fontId="0" fillId="0" borderId="0" xfId="0" applyNumberFormat="1" applyFill="1"/>
    <xf numFmtId="9" fontId="3" fillId="0" borderId="0" xfId="0" applyNumberFormat="1" applyFont="1" applyFill="1"/>
    <xf numFmtId="166" fontId="0" fillId="0" borderId="0" xfId="0" applyNumberFormat="1" applyFill="1"/>
    <xf numFmtId="42" fontId="3" fillId="0" borderId="0" xfId="0" applyNumberFormat="1" applyFont="1"/>
    <xf numFmtId="42" fontId="0" fillId="0" borderId="0" xfId="0" applyNumberFormat="1" applyFont="1"/>
    <xf numFmtId="9" fontId="0" fillId="0" borderId="0" xfId="0" applyNumberFormat="1" applyFont="1" applyFill="1"/>
    <xf numFmtId="166" fontId="0" fillId="0" borderId="0" xfId="0" applyNumberFormat="1" applyFont="1" applyFill="1"/>
    <xf numFmtId="166" fontId="3" fillId="0" borderId="0" xfId="0" applyNumberFormat="1" applyFont="1" applyFill="1"/>
    <xf numFmtId="0" fontId="5" fillId="0" borderId="0" xfId="0" applyFont="1" applyBorder="1" applyAlignment="1">
      <alignment vertical="top" wrapText="1"/>
    </xf>
    <xf numFmtId="49" fontId="3" fillId="0" borderId="0" xfId="0" applyNumberFormat="1" applyFont="1" applyFill="1" applyAlignment="1">
      <alignment horizontal="left"/>
    </xf>
    <xf numFmtId="1" fontId="3" fillId="0" borderId="0" xfId="0" applyNumberFormat="1" applyFont="1"/>
    <xf numFmtId="37" fontId="3" fillId="0" borderId="0" xfId="0" applyNumberFormat="1" applyFont="1"/>
    <xf numFmtId="0" fontId="3" fillId="0" borderId="0" xfId="0" applyFont="1" applyAlignment="1">
      <alignment horizontal="right"/>
    </xf>
    <xf numFmtId="0" fontId="36" fillId="0" borderId="0" xfId="0" applyFont="1"/>
    <xf numFmtId="0" fontId="36" fillId="0" borderId="0" xfId="0" applyFont="1" applyAlignment="1">
      <alignment horizontal="left"/>
    </xf>
    <xf numFmtId="0" fontId="5" fillId="0" borderId="19" xfId="0" applyFont="1" applyBorder="1" applyAlignment="1">
      <alignment vertical="top" wrapText="1"/>
    </xf>
    <xf numFmtId="165" fontId="0" fillId="0" borderId="19" xfId="0" applyNumberFormat="1" applyFont="1" applyBorder="1"/>
    <xf numFmtId="0" fontId="30" fillId="0" borderId="19" xfId="0" applyFont="1" applyFill="1" applyBorder="1" applyAlignment="1">
      <alignment vertical="top"/>
    </xf>
    <xf numFmtId="168" fontId="0" fillId="0" borderId="0" xfId="0" applyNumberFormat="1" applyAlignment="1">
      <alignment horizontal="right"/>
    </xf>
    <xf numFmtId="9" fontId="0" fillId="0" borderId="0" xfId="0" applyNumberFormat="1" applyFont="1"/>
    <xf numFmtId="42" fontId="0" fillId="0" borderId="19" xfId="0" applyNumberFormat="1" applyBorder="1"/>
    <xf numFmtId="42" fontId="0" fillId="0" borderId="0" xfId="133" applyNumberFormat="1" applyFont="1"/>
    <xf numFmtId="9" fontId="31" fillId="0" borderId="0" xfId="0" applyNumberFormat="1" applyFont="1" applyBorder="1"/>
    <xf numFmtId="42" fontId="0" fillId="0" borderId="19" xfId="133" applyNumberFormat="1" applyFont="1" applyBorder="1"/>
    <xf numFmtId="165" fontId="0" fillId="0" borderId="0" xfId="0" applyNumberFormat="1" applyFont="1"/>
    <xf numFmtId="0" fontId="0" fillId="0" borderId="19" xfId="0" applyFont="1" applyFill="1" applyBorder="1"/>
    <xf numFmtId="169" fontId="0" fillId="0" borderId="0" xfId="133" applyNumberFormat="1" applyFont="1"/>
    <xf numFmtId="169" fontId="0" fillId="0" borderId="19" xfId="133" applyNumberFormat="1" applyFont="1" applyBorder="1"/>
    <xf numFmtId="3" fontId="32" fillId="0" borderId="0" xfId="0" applyNumberFormat="1" applyFont="1"/>
    <xf numFmtId="169" fontId="3" fillId="0" borderId="0" xfId="0" applyNumberFormat="1" applyFont="1" applyFill="1"/>
    <xf numFmtId="0" fontId="37" fillId="0" borderId="0" xfId="134"/>
    <xf numFmtId="14" fontId="0" fillId="0" borderId="0" xfId="0" applyNumberFormat="1" applyAlignment="1">
      <alignment horizontal="left"/>
    </xf>
    <xf numFmtId="1" fontId="3" fillId="0" borderId="0" xfId="0" applyNumberFormat="1" applyFont="1" applyFill="1"/>
    <xf numFmtId="1" fontId="0" fillId="0" borderId="0" xfId="0" applyNumberFormat="1" applyFill="1"/>
    <xf numFmtId="0" fontId="34" fillId="0" borderId="0" xfId="1" applyNumberFormat="1" applyFont="1" applyFill="1" applyAlignment="1"/>
    <xf numFmtId="0" fontId="32" fillId="0" borderId="0" xfId="0" applyFont="1"/>
    <xf numFmtId="9" fontId="3" fillId="0" borderId="0" xfId="0" applyNumberFormat="1" applyFont="1"/>
    <xf numFmtId="0" fontId="4" fillId="26" borderId="11" xfId="3" applyFill="1" applyBorder="1"/>
    <xf numFmtId="0" fontId="4" fillId="0" borderId="0" xfId="3" applyBorder="1"/>
    <xf numFmtId="0" fontId="4" fillId="0" borderId="0" xfId="3"/>
    <xf numFmtId="0" fontId="4" fillId="0" borderId="0" xfId="3" applyFont="1" applyAlignment="1">
      <alignment wrapText="1"/>
    </xf>
    <xf numFmtId="0" fontId="23" fillId="0" borderId="0" xfId="3" applyFont="1" applyBorder="1"/>
    <xf numFmtId="0" fontId="23" fillId="0" borderId="0" xfId="3" applyFont="1"/>
    <xf numFmtId="0" fontId="39" fillId="0" borderId="0" xfId="3" applyFont="1"/>
    <xf numFmtId="0" fontId="4" fillId="0" borderId="0" xfId="3" applyBorder="1" applyAlignment="1">
      <alignment horizontal="left"/>
    </xf>
    <xf numFmtId="0" fontId="4" fillId="0" borderId="0" xfId="3" applyFill="1" applyBorder="1" applyAlignment="1">
      <alignment horizontal="left"/>
    </xf>
    <xf numFmtId="0" fontId="4" fillId="24" borderId="0" xfId="3" applyFill="1" applyBorder="1" applyAlignment="1">
      <alignment horizontal="right"/>
    </xf>
    <xf numFmtId="0" fontId="39" fillId="0" borderId="0" xfId="3" applyFont="1" applyBorder="1"/>
    <xf numFmtId="0" fontId="4" fillId="27" borderId="12" xfId="3" applyFill="1" applyBorder="1"/>
    <xf numFmtId="0" fontId="4" fillId="0" borderId="0" xfId="3" applyFill="1" applyBorder="1"/>
    <xf numFmtId="167" fontId="4" fillId="0" borderId="0" xfId="3" applyNumberFormat="1" applyBorder="1"/>
    <xf numFmtId="0" fontId="23" fillId="0" borderId="0" xfId="3" applyFont="1" applyFill="1"/>
    <xf numFmtId="0" fontId="4" fillId="0" borderId="0" xfId="3" applyFill="1"/>
    <xf numFmtId="9" fontId="4" fillId="27" borderId="12" xfId="3" applyNumberFormat="1" applyFill="1" applyBorder="1"/>
    <xf numFmtId="2" fontId="4" fillId="0" borderId="0" xfId="3" applyNumberFormat="1"/>
    <xf numFmtId="172" fontId="4" fillId="0" borderId="0" xfId="3" applyNumberFormat="1"/>
    <xf numFmtId="0" fontId="4" fillId="0" borderId="0" xfId="3" applyFont="1" applyBorder="1"/>
    <xf numFmtId="0" fontId="4" fillId="24" borderId="0" xfId="3" applyFill="1" applyBorder="1"/>
    <xf numFmtId="166" fontId="4" fillId="0" borderId="0" xfId="3" applyNumberFormat="1"/>
    <xf numFmtId="166" fontId="4" fillId="0" borderId="12" xfId="3" applyNumberFormat="1" applyBorder="1"/>
    <xf numFmtId="3" fontId="4" fillId="0" borderId="0" xfId="3" applyNumberFormat="1"/>
    <xf numFmtId="0" fontId="31" fillId="0" borderId="0" xfId="0" applyFont="1" applyFill="1" applyBorder="1"/>
    <xf numFmtId="10" fontId="4" fillId="24" borderId="12" xfId="3" applyNumberFormat="1" applyFill="1" applyBorder="1"/>
    <xf numFmtId="166" fontId="4" fillId="27" borderId="12" xfId="3" applyNumberFormat="1" applyFont="1" applyFill="1" applyBorder="1" applyAlignment="1">
      <alignment horizontal="right"/>
    </xf>
    <xf numFmtId="166" fontId="4" fillId="27" borderId="12" xfId="3" applyNumberFormat="1" applyFont="1" applyFill="1" applyBorder="1"/>
    <xf numFmtId="40" fontId="4" fillId="0" borderId="0" xfId="3" applyNumberFormat="1"/>
    <xf numFmtId="3" fontId="4" fillId="0" borderId="0" xfId="3" applyNumberFormat="1" applyBorder="1"/>
    <xf numFmtId="166" fontId="4" fillId="24" borderId="0" xfId="3" applyNumberFormat="1" applyFill="1" applyBorder="1"/>
    <xf numFmtId="172" fontId="4" fillId="24" borderId="0" xfId="3" applyNumberFormat="1" applyFill="1" applyBorder="1"/>
    <xf numFmtId="175" fontId="4" fillId="0" borderId="0" xfId="3" applyNumberFormat="1"/>
    <xf numFmtId="171" fontId="4" fillId="0" borderId="0" xfId="3" applyNumberFormat="1"/>
    <xf numFmtId="44" fontId="3" fillId="0" borderId="0" xfId="0" applyNumberFormat="1" applyFont="1"/>
    <xf numFmtId="169" fontId="3" fillId="0" borderId="0" xfId="0" applyNumberFormat="1" applyFont="1"/>
    <xf numFmtId="169" fontId="0" fillId="0" borderId="0" xfId="0" applyNumberFormat="1" applyFont="1"/>
    <xf numFmtId="44" fontId="0" fillId="0" borderId="0" xfId="0" applyNumberFormat="1" applyFont="1"/>
    <xf numFmtId="1" fontId="0" fillId="0" borderId="0" xfId="0" applyNumberFormat="1" applyFont="1" applyFill="1"/>
    <xf numFmtId="2" fontId="0" fillId="0" borderId="0" xfId="0" applyNumberFormat="1" applyFont="1" applyFill="1"/>
    <xf numFmtId="0" fontId="3" fillId="0" borderId="19" xfId="0" applyFont="1" applyBorder="1" applyAlignment="1">
      <alignment horizontal="left"/>
    </xf>
    <xf numFmtId="0" fontId="3" fillId="0" borderId="19" xfId="0" applyFont="1" applyBorder="1"/>
    <xf numFmtId="169" fontId="3" fillId="0" borderId="19" xfId="0" applyNumberFormat="1" applyFont="1" applyBorder="1"/>
    <xf numFmtId="166" fontId="3" fillId="0" borderId="19" xfId="0" applyNumberFormat="1" applyFont="1" applyBorder="1"/>
    <xf numFmtId="44" fontId="3" fillId="0" borderId="19" xfId="0" applyNumberFormat="1" applyFont="1" applyBorder="1"/>
    <xf numFmtId="2" fontId="3" fillId="0" borderId="19" xfId="0" applyNumberFormat="1" applyFont="1" applyFill="1" applyBorder="1"/>
    <xf numFmtId="42" fontId="0" fillId="0" borderId="19" xfId="0" applyNumberFormat="1" applyFont="1" applyFill="1" applyBorder="1"/>
    <xf numFmtId="9" fontId="3" fillId="0" borderId="19" xfId="0" applyNumberFormat="1" applyFont="1" applyFill="1" applyBorder="1"/>
    <xf numFmtId="166" fontId="3" fillId="0" borderId="19" xfId="0" applyNumberFormat="1" applyFont="1" applyFill="1" applyBorder="1"/>
    <xf numFmtId="3" fontId="0" fillId="0" borderId="0" xfId="0" applyNumberFormat="1" applyFont="1"/>
    <xf numFmtId="176" fontId="3" fillId="0" borderId="0" xfId="0" applyNumberFormat="1" applyFont="1"/>
    <xf numFmtId="176" fontId="0" fillId="0" borderId="0" xfId="0" applyNumberFormat="1" applyFont="1"/>
    <xf numFmtId="0" fontId="0" fillId="0" borderId="0" xfId="0" applyNumberFormat="1" applyFont="1" applyAlignment="1">
      <alignment horizontal="left"/>
    </xf>
    <xf numFmtId="176" fontId="3" fillId="0" borderId="19" xfId="0" applyNumberFormat="1" applyFont="1" applyBorder="1"/>
    <xf numFmtId="49" fontId="0" fillId="0" borderId="0" xfId="0" applyNumberFormat="1" applyFont="1" applyFill="1" applyAlignment="1">
      <alignment horizontal="left"/>
    </xf>
    <xf numFmtId="165" fontId="3" fillId="0" borderId="19" xfId="0" applyNumberFormat="1" applyFont="1" applyBorder="1"/>
    <xf numFmtId="42" fontId="3" fillId="0" borderId="19" xfId="0" applyNumberFormat="1" applyFont="1" applyFill="1" applyBorder="1"/>
    <xf numFmtId="0" fontId="28" fillId="26" borderId="11" xfId="3" applyFont="1" applyFill="1" applyBorder="1"/>
    <xf numFmtId="0" fontId="4" fillId="26" borderId="11" xfId="3" applyFill="1" applyBorder="1"/>
    <xf numFmtId="0" fontId="4" fillId="0" borderId="0" xfId="3" applyBorder="1"/>
    <xf numFmtId="0" fontId="4" fillId="0" borderId="0" xfId="3"/>
    <xf numFmtId="0" fontId="23" fillId="0" borderId="0" xfId="3" applyFont="1" applyBorder="1"/>
    <xf numFmtId="0" fontId="34" fillId="0" borderId="0" xfId="3" applyFont="1" applyBorder="1"/>
    <xf numFmtId="0" fontId="41" fillId="0" borderId="0" xfId="3" applyFont="1" applyBorder="1"/>
    <xf numFmtId="0" fontId="4" fillId="0" borderId="19" xfId="3" applyBorder="1"/>
    <xf numFmtId="0" fontId="4" fillId="0" borderId="23" xfId="3" applyBorder="1"/>
    <xf numFmtId="0" fontId="42" fillId="0" borderId="0" xfId="3" applyFont="1" applyBorder="1"/>
    <xf numFmtId="0" fontId="4" fillId="0" borderId="17" xfId="3" applyBorder="1"/>
    <xf numFmtId="2" fontId="4" fillId="27" borderId="12" xfId="3" applyNumberFormat="1" applyFill="1" applyBorder="1"/>
    <xf numFmtId="0" fontId="4" fillId="0" borderId="19" xfId="3" applyFont="1" applyBorder="1"/>
    <xf numFmtId="172" fontId="4" fillId="0" borderId="12" xfId="3" applyNumberFormat="1" applyBorder="1"/>
    <xf numFmtId="0" fontId="4" fillId="0" borderId="12" xfId="3" applyBorder="1"/>
    <xf numFmtId="0" fontId="40" fillId="0" borderId="0" xfId="3" applyFont="1" applyBorder="1"/>
    <xf numFmtId="0" fontId="4" fillId="0" borderId="19" xfId="3" applyFont="1" applyFill="1" applyBorder="1"/>
    <xf numFmtId="0" fontId="4" fillId="27" borderId="12" xfId="3" applyFill="1" applyBorder="1"/>
    <xf numFmtId="0" fontId="4" fillId="0" borderId="11" xfId="3" applyFont="1" applyBorder="1"/>
    <xf numFmtId="0" fontId="4" fillId="0" borderId="12" xfId="3" applyFont="1" applyBorder="1"/>
    <xf numFmtId="0" fontId="4" fillId="0" borderId="11" xfId="3" applyFill="1" applyBorder="1"/>
    <xf numFmtId="0" fontId="4" fillId="0" borderId="11" xfId="3" applyBorder="1"/>
    <xf numFmtId="0" fontId="4" fillId="0" borderId="0" xfId="3" applyFill="1" applyBorder="1"/>
    <xf numFmtId="9" fontId="4" fillId="27" borderId="12" xfId="3" applyNumberFormat="1" applyFont="1" applyFill="1" applyBorder="1"/>
    <xf numFmtId="0" fontId="4" fillId="0" borderId="0" xfId="3" applyFont="1" applyFill="1" applyBorder="1"/>
    <xf numFmtId="0" fontId="4" fillId="0" borderId="22" xfId="3" applyBorder="1"/>
    <xf numFmtId="167" fontId="4" fillId="0" borderId="22" xfId="3" applyNumberFormat="1" applyBorder="1"/>
    <xf numFmtId="0" fontId="4" fillId="0" borderId="14" xfId="3" applyBorder="1" applyAlignment="1">
      <alignment horizontal="left"/>
    </xf>
    <xf numFmtId="0" fontId="4" fillId="0" borderId="19" xfId="3" applyBorder="1" applyAlignment="1">
      <alignment horizontal="right"/>
    </xf>
    <xf numFmtId="0" fontId="4" fillId="0" borderId="10" xfId="3" applyFont="1" applyBorder="1"/>
    <xf numFmtId="0" fontId="4" fillId="0" borderId="13" xfId="3" applyBorder="1"/>
    <xf numFmtId="172" fontId="4" fillId="0" borderId="13" xfId="3" applyNumberFormat="1" applyBorder="1"/>
    <xf numFmtId="0" fontId="4" fillId="0" borderId="0" xfId="3" applyBorder="1" applyAlignment="1">
      <alignment horizontal="left"/>
    </xf>
    <xf numFmtId="9" fontId="4" fillId="0" borderId="0" xfId="3" applyNumberFormat="1" applyFont="1" applyFill="1" applyBorder="1"/>
    <xf numFmtId="0" fontId="4" fillId="0" borderId="10" xfId="3" applyBorder="1"/>
    <xf numFmtId="10" fontId="4" fillId="0" borderId="13" xfId="3" applyNumberFormat="1" applyBorder="1"/>
    <xf numFmtId="0" fontId="4" fillId="0" borderId="22" xfId="3" applyFill="1" applyBorder="1"/>
    <xf numFmtId="3" fontId="4" fillId="0" borderId="13" xfId="3" applyNumberFormat="1" applyBorder="1"/>
    <xf numFmtId="3" fontId="4" fillId="0" borderId="12" xfId="3" applyNumberFormat="1" applyBorder="1"/>
    <xf numFmtId="0" fontId="41" fillId="0" borderId="0" xfId="3" applyFont="1" applyFill="1" applyBorder="1"/>
    <xf numFmtId="3" fontId="4" fillId="0" borderId="13" xfId="3" applyNumberFormat="1" applyFont="1" applyBorder="1"/>
    <xf numFmtId="3" fontId="4" fillId="0" borderId="12" xfId="3" applyNumberFormat="1" applyFont="1" applyBorder="1"/>
    <xf numFmtId="0" fontId="34" fillId="0" borderId="0" xfId="3" applyFont="1" applyFill="1" applyBorder="1"/>
    <xf numFmtId="165" fontId="4" fillId="0" borderId="0" xfId="3" applyNumberFormat="1" applyBorder="1"/>
    <xf numFmtId="0" fontId="4" fillId="24" borderId="15" xfId="3" applyFill="1" applyBorder="1" applyAlignment="1">
      <alignment horizontal="left"/>
    </xf>
    <xf numFmtId="0" fontId="4" fillId="0" borderId="15" xfId="3" applyBorder="1" applyAlignment="1">
      <alignment horizontal="left"/>
    </xf>
    <xf numFmtId="0" fontId="4" fillId="0" borderId="15" xfId="3" applyBorder="1"/>
    <xf numFmtId="0" fontId="4" fillId="0" borderId="16" xfId="3" applyBorder="1"/>
    <xf numFmtId="0" fontId="4" fillId="24" borderId="20" xfId="3" applyFill="1" applyBorder="1" applyAlignment="1">
      <alignment horizontal="left"/>
    </xf>
    <xf numFmtId="0" fontId="4" fillId="0" borderId="20" xfId="3" applyBorder="1" applyAlignment="1">
      <alignment horizontal="left"/>
    </xf>
    <xf numFmtId="0" fontId="4" fillId="0" borderId="20" xfId="3" applyBorder="1"/>
    <xf numFmtId="0" fontId="4" fillId="24" borderId="20" xfId="3" applyFill="1" applyBorder="1"/>
    <xf numFmtId="166" fontId="4" fillId="27" borderId="12" xfId="3" applyNumberFormat="1" applyFill="1" applyBorder="1"/>
    <xf numFmtId="172" fontId="4" fillId="27" borderId="12" xfId="3" applyNumberFormat="1" applyFill="1" applyBorder="1"/>
    <xf numFmtId="0" fontId="4" fillId="0" borderId="0" xfId="3" applyBorder="1" applyAlignment="1">
      <alignment horizontal="right"/>
    </xf>
    <xf numFmtId="0" fontId="4" fillId="24" borderId="12" xfId="3" applyFill="1" applyBorder="1"/>
    <xf numFmtId="165" fontId="0" fillId="0" borderId="0" xfId="4" applyNumberFormat="1" applyFont="1" applyBorder="1"/>
    <xf numFmtId="165" fontId="0" fillId="0" borderId="0" xfId="4" applyNumberFormat="1" applyFont="1" applyFill="1" applyBorder="1"/>
    <xf numFmtId="165" fontId="4" fillId="0" borderId="0" xfId="4" applyNumberFormat="1" applyFont="1" applyFill="1" applyBorder="1"/>
    <xf numFmtId="165" fontId="4" fillId="0" borderId="0" xfId="3" applyNumberFormat="1" applyFill="1" applyBorder="1"/>
    <xf numFmtId="3" fontId="4" fillId="0" borderId="0" xfId="3" applyNumberFormat="1" applyBorder="1"/>
    <xf numFmtId="2" fontId="4" fillId="0" borderId="12" xfId="3" applyNumberFormat="1" applyBorder="1"/>
    <xf numFmtId="2" fontId="4" fillId="0" borderId="12" xfId="3" applyNumberFormat="1" applyFont="1" applyFill="1" applyBorder="1"/>
    <xf numFmtId="0" fontId="3" fillId="0" borderId="0" xfId="0" applyFont="1" applyBorder="1" applyAlignment="1">
      <alignment horizontal="left"/>
    </xf>
    <xf numFmtId="0" fontId="3" fillId="0" borderId="0" xfId="0" applyFont="1" applyBorder="1" applyAlignment="1"/>
    <xf numFmtId="167" fontId="4" fillId="27" borderId="12" xfId="3" applyNumberFormat="1" applyFont="1" applyFill="1" applyBorder="1"/>
    <xf numFmtId="3" fontId="0" fillId="0" borderId="0" xfId="0" applyNumberFormat="1"/>
    <xf numFmtId="42" fontId="0" fillId="0" borderId="0" xfId="0" applyNumberFormat="1" applyFill="1"/>
    <xf numFmtId="44" fontId="0" fillId="0" borderId="0" xfId="133" applyNumberFormat="1" applyFont="1"/>
    <xf numFmtId="165" fontId="0" fillId="0" borderId="19" xfId="0" applyNumberFormat="1" applyFill="1" applyBorder="1"/>
    <xf numFmtId="1" fontId="0" fillId="0" borderId="19" xfId="0" applyNumberFormat="1" applyBorder="1"/>
    <xf numFmtId="169" fontId="0" fillId="0" borderId="0" xfId="133" applyNumberFormat="1" applyFont="1" applyFill="1"/>
    <xf numFmtId="0" fontId="0" fillId="24" borderId="19" xfId="0" quotePrefix="1" applyNumberFormat="1" applyFont="1" applyFill="1" applyBorder="1" applyAlignment="1" applyProtection="1">
      <alignment horizontal="center"/>
    </xf>
    <xf numFmtId="0" fontId="4" fillId="24" borderId="23" xfId="0" applyNumberFormat="1" applyFont="1" applyFill="1" applyBorder="1" applyAlignment="1" applyProtection="1">
      <alignment horizontal="center" wrapText="1"/>
    </xf>
    <xf numFmtId="0" fontId="4" fillId="24" borderId="21" xfId="0" applyNumberFormat="1" applyFont="1" applyFill="1" applyBorder="1" applyAlignment="1" applyProtection="1">
      <alignment horizontal="center"/>
    </xf>
    <xf numFmtId="0" fontId="4" fillId="24" borderId="21" xfId="0" applyNumberFormat="1" applyFont="1" applyFill="1" applyBorder="1" applyAlignment="1" applyProtection="1">
      <alignment horizontal="left"/>
    </xf>
    <xf numFmtId="0" fontId="4" fillId="24" borderId="22" xfId="0" applyNumberFormat="1" applyFont="1" applyFill="1" applyBorder="1" applyAlignment="1" applyProtection="1">
      <alignment horizontal="center"/>
    </xf>
    <xf numFmtId="42" fontId="0" fillId="0" borderId="0" xfId="0" applyNumberFormat="1" applyFont="1" applyBorder="1"/>
    <xf numFmtId="42" fontId="43" fillId="0" borderId="0" xfId="133" applyNumberFormat="1" applyFont="1" applyBorder="1"/>
    <xf numFmtId="44" fontId="43" fillId="0" borderId="0" xfId="0" applyNumberFormat="1" applyFont="1" applyBorder="1"/>
    <xf numFmtId="9" fontId="0" fillId="0" borderId="0" xfId="0" applyNumberFormat="1" applyFont="1" applyBorder="1"/>
    <xf numFmtId="0" fontId="30" fillId="0" borderId="19" xfId="0" applyFont="1" applyFill="1" applyBorder="1" applyAlignment="1">
      <alignment vertical="top" wrapText="1"/>
    </xf>
    <xf numFmtId="0" fontId="0" fillId="24" borderId="23" xfId="0" quotePrefix="1" applyNumberFormat="1" applyFont="1" applyFill="1" applyBorder="1" applyAlignment="1" applyProtection="1">
      <alignment horizontal="center"/>
    </xf>
    <xf numFmtId="16" fontId="0" fillId="24" borderId="14" xfId="0" applyNumberFormat="1" applyFont="1" applyFill="1" applyBorder="1" applyAlignment="1" applyProtection="1">
      <alignment horizontal="center"/>
    </xf>
    <xf numFmtId="0" fontId="4" fillId="24" borderId="19" xfId="0" applyNumberFormat="1" applyFont="1" applyFill="1" applyBorder="1" applyAlignment="1" applyProtection="1">
      <alignment horizontal="center"/>
    </xf>
    <xf numFmtId="0" fontId="4" fillId="24" borderId="16" xfId="0" applyNumberFormat="1" applyFont="1" applyFill="1" applyBorder="1" applyAlignment="1" applyProtection="1"/>
    <xf numFmtId="0" fontId="4" fillId="24" borderId="22" xfId="0" applyNumberFormat="1" applyFont="1" applyFill="1" applyBorder="1" applyAlignment="1" applyProtection="1"/>
    <xf numFmtId="0" fontId="4" fillId="24" borderId="22" xfId="0" applyNumberFormat="1" applyFont="1" applyFill="1" applyBorder="1" applyAlignment="1" applyProtection="1">
      <alignment horizontal="right"/>
    </xf>
    <xf numFmtId="0" fontId="4" fillId="24" borderId="16" xfId="0" applyNumberFormat="1" applyFont="1" applyFill="1" applyBorder="1" applyAlignment="1" applyProtection="1">
      <alignment wrapText="1"/>
    </xf>
    <xf numFmtId="9" fontId="0" fillId="0" borderId="0" xfId="0" applyNumberFormat="1" applyFill="1"/>
    <xf numFmtId="37" fontId="0" fillId="0" borderId="19" xfId="0" applyNumberFormat="1" applyFill="1" applyBorder="1"/>
    <xf numFmtId="169" fontId="0" fillId="0" borderId="19" xfId="0" applyNumberFormat="1" applyBorder="1"/>
    <xf numFmtId="44" fontId="0" fillId="0" borderId="0" xfId="0" applyNumberFormat="1" applyFont="1" applyBorder="1"/>
    <xf numFmtId="44" fontId="43" fillId="0" borderId="0" xfId="133" applyNumberFormat="1" applyFont="1" applyBorder="1"/>
    <xf numFmtId="5" fontId="43" fillId="0" borderId="0" xfId="0" applyNumberFormat="1" applyFont="1" applyBorder="1"/>
    <xf numFmtId="0" fontId="0" fillId="0" borderId="0" xfId="0"/>
    <xf numFmtId="165" fontId="0" fillId="0" borderId="0" xfId="0" applyNumberFormat="1"/>
    <xf numFmtId="0" fontId="3" fillId="0" borderId="0" xfId="0" applyFont="1"/>
    <xf numFmtId="9" fontId="0" fillId="0" borderId="0" xfId="0" applyNumberFormat="1"/>
    <xf numFmtId="1" fontId="0" fillId="0" borderId="0" xfId="0" applyNumberFormat="1"/>
    <xf numFmtId="0" fontId="0" fillId="0" borderId="0" xfId="0" applyAlignment="1">
      <alignment horizontal="right"/>
    </xf>
    <xf numFmtId="0" fontId="0" fillId="0" borderId="0" xfId="0" applyFont="1"/>
    <xf numFmtId="0" fontId="0" fillId="0" borderId="0" xfId="0" applyBorder="1"/>
    <xf numFmtId="0" fontId="0" fillId="0" borderId="0" xfId="0" applyFill="1" applyBorder="1"/>
    <xf numFmtId="3" fontId="0" fillId="0" borderId="0" xfId="0" applyNumberFormat="1"/>
    <xf numFmtId="0" fontId="0" fillId="0" borderId="19" xfId="0" applyBorder="1"/>
    <xf numFmtId="165" fontId="0" fillId="0" borderId="19" xfId="0" applyNumberFormat="1" applyBorder="1"/>
    <xf numFmtId="0" fontId="0" fillId="24" borderId="0" xfId="0" applyFill="1" applyBorder="1"/>
    <xf numFmtId="0" fontId="4" fillId="24" borderId="21" xfId="0" applyNumberFormat="1" applyFont="1" applyFill="1" applyBorder="1" applyAlignment="1" applyProtection="1"/>
    <xf numFmtId="0" fontId="0" fillId="0" borderId="19" xfId="0" applyFont="1" applyBorder="1"/>
    <xf numFmtId="3" fontId="0" fillId="0" borderId="0" xfId="0" applyNumberFormat="1" applyBorder="1"/>
    <xf numFmtId="0" fontId="0" fillId="0" borderId="12" xfId="0" applyBorder="1"/>
    <xf numFmtId="165" fontId="0" fillId="0" borderId="0" xfId="0" applyNumberFormat="1" applyBorder="1"/>
    <xf numFmtId="3" fontId="4" fillId="0" borderId="0" xfId="0" applyNumberFormat="1" applyFont="1" applyFill="1" applyBorder="1" applyAlignment="1" applyProtection="1">
      <alignment horizontal="right"/>
    </xf>
    <xf numFmtId="165" fontId="0" fillId="0" borderId="0" xfId="0" applyNumberFormat="1" applyFill="1"/>
    <xf numFmtId="0" fontId="0" fillId="0" borderId="0" xfId="0" applyFill="1"/>
    <xf numFmtId="0" fontId="4" fillId="0" borderId="0" xfId="3" applyBorder="1"/>
    <xf numFmtId="0" fontId="4" fillId="0" borderId="0" xfId="3"/>
    <xf numFmtId="0" fontId="4" fillId="0" borderId="0" xfId="3" applyFont="1" applyAlignment="1">
      <alignment wrapText="1"/>
    </xf>
    <xf numFmtId="169" fontId="0" fillId="0" borderId="0" xfId="133" applyNumberFormat="1" applyFont="1"/>
    <xf numFmtId="0" fontId="0" fillId="0" borderId="0" xfId="0" applyFill="1" applyBorder="1" applyAlignment="1">
      <alignment horizontal="right"/>
    </xf>
    <xf numFmtId="169" fontId="0" fillId="0" borderId="0" xfId="133" applyNumberFormat="1" applyFont="1" applyFill="1" applyBorder="1"/>
    <xf numFmtId="169" fontId="0" fillId="0" borderId="19" xfId="133" applyNumberFormat="1" applyFont="1" applyFill="1" applyBorder="1"/>
    <xf numFmtId="169" fontId="0" fillId="24" borderId="0" xfId="133" applyNumberFormat="1" applyFont="1" applyFill="1" applyBorder="1"/>
    <xf numFmtId="169" fontId="30" fillId="0" borderId="19" xfId="133" applyNumberFormat="1" applyFont="1" applyBorder="1" applyAlignment="1">
      <alignment vertical="top" wrapText="1"/>
    </xf>
    <xf numFmtId="165" fontId="32" fillId="0" borderId="19" xfId="0" applyNumberFormat="1" applyFont="1" applyFill="1" applyBorder="1"/>
    <xf numFmtId="1" fontId="4" fillId="0" borderId="0" xfId="0" applyNumberFormat="1" applyFont="1" applyFill="1" applyBorder="1" applyAlignment="1" applyProtection="1">
      <alignment horizontal="right"/>
      <protection locked="0"/>
    </xf>
    <xf numFmtId="169" fontId="4" fillId="0" borderId="0" xfId="133" applyNumberFormat="1" applyFont="1" applyFill="1" applyBorder="1" applyAlignment="1" applyProtection="1">
      <alignment horizontal="right"/>
      <protection locked="0"/>
    </xf>
    <xf numFmtId="0" fontId="0" fillId="0" borderId="0" xfId="0" applyNumberFormat="1" applyFont="1" applyFill="1" applyBorder="1" applyAlignment="1" applyProtection="1"/>
    <xf numFmtId="0" fontId="0" fillId="0" borderId="0" xfId="0" applyBorder="1" applyAlignment="1">
      <alignment vertical="center"/>
    </xf>
    <xf numFmtId="0" fontId="0" fillId="0" borderId="0" xfId="0" applyBorder="1" applyAlignment="1">
      <alignment horizontal="left" vertical="center"/>
    </xf>
    <xf numFmtId="10" fontId="0" fillId="0" borderId="0" xfId="0" applyNumberFormat="1" applyFill="1" applyBorder="1"/>
    <xf numFmtId="169" fontId="0" fillId="0" borderId="0" xfId="133" applyNumberFormat="1" applyFont="1" applyBorder="1"/>
    <xf numFmtId="169" fontId="0" fillId="0" borderId="22" xfId="133" applyNumberFormat="1" applyFont="1" applyBorder="1"/>
    <xf numFmtId="0" fontId="44" fillId="0" borderId="0" xfId="0" applyNumberFormat="1" applyFont="1" applyFill="1" applyBorder="1" applyAlignment="1" applyProtection="1">
      <alignment horizontal="center"/>
    </xf>
    <xf numFmtId="0" fontId="32" fillId="0" borderId="0" xfId="0" applyNumberFormat="1" applyFont="1" applyFill="1" applyBorder="1" applyAlignment="1" applyProtection="1">
      <alignment horizontal="left"/>
    </xf>
    <xf numFmtId="0" fontId="32" fillId="0" borderId="0" xfId="0" applyNumberFormat="1" applyFont="1" applyFill="1" applyBorder="1" applyAlignment="1" applyProtection="1">
      <alignment horizontal="left" vertical="top" wrapText="1"/>
    </xf>
    <xf numFmtId="169" fontId="32" fillId="0" borderId="0" xfId="133" applyNumberFormat="1" applyFont="1" applyFill="1" applyBorder="1" applyAlignment="1" applyProtection="1">
      <protection locked="0"/>
    </xf>
    <xf numFmtId="169" fontId="22" fillId="0" borderId="0" xfId="133" applyNumberFormat="1" applyFont="1" applyFill="1" applyBorder="1" applyAlignment="1" applyProtection="1"/>
    <xf numFmtId="0" fontId="22" fillId="0" borderId="0" xfId="0" applyNumberFormat="1" applyFont="1" applyFill="1" applyBorder="1" applyAlignment="1" applyProtection="1">
      <alignment horizontal="left" vertical="top" wrapText="1"/>
    </xf>
    <xf numFmtId="0" fontId="0" fillId="0" borderId="0" xfId="0" applyFill="1" applyBorder="1" applyAlignment="1">
      <alignment vertical="center"/>
    </xf>
    <xf numFmtId="0" fontId="0" fillId="0" borderId="0" xfId="0" applyFill="1" applyBorder="1" applyAlignment="1">
      <alignment horizontal="left" vertical="center"/>
    </xf>
    <xf numFmtId="9" fontId="0" fillId="0" borderId="0" xfId="0" applyNumberFormat="1" applyFill="1" applyBorder="1"/>
    <xf numFmtId="0" fontId="31" fillId="0" borderId="19" xfId="0" applyFont="1" applyFill="1" applyBorder="1" applyAlignment="1"/>
    <xf numFmtId="0" fontId="31" fillId="0" borderId="0" xfId="0" applyFont="1" applyBorder="1"/>
    <xf numFmtId="0" fontId="45" fillId="0" borderId="0" xfId="0" applyFont="1" applyFill="1" applyBorder="1" applyAlignment="1">
      <alignment horizontal="center"/>
    </xf>
    <xf numFmtId="0" fontId="31" fillId="28" borderId="20" xfId="0" applyFont="1" applyFill="1" applyBorder="1" applyAlignment="1"/>
    <xf numFmtId="165" fontId="31" fillId="0" borderId="0" xfId="0" applyNumberFormat="1" applyFont="1" applyBorder="1"/>
    <xf numFmtId="0" fontId="31" fillId="28" borderId="15" xfId="0" applyFont="1" applyFill="1" applyBorder="1" applyAlignment="1"/>
    <xf numFmtId="3" fontId="31" fillId="0" borderId="12" xfId="0" applyNumberFormat="1" applyFont="1" applyBorder="1"/>
    <xf numFmtId="9" fontId="23" fillId="0" borderId="12" xfId="2" applyFont="1" applyFill="1" applyBorder="1" applyAlignment="1">
      <alignment horizontal="center"/>
    </xf>
    <xf numFmtId="0" fontId="45" fillId="0" borderId="0" xfId="0" applyFont="1" applyFill="1" applyBorder="1" applyAlignment="1">
      <alignment horizontal="center" wrapText="1"/>
    </xf>
    <xf numFmtId="0" fontId="0" fillId="0" borderId="0" xfId="0"/>
    <xf numFmtId="0" fontId="0" fillId="0" borderId="0" xfId="0" applyFill="1" applyBorder="1"/>
    <xf numFmtId="0" fontId="31" fillId="0" borderId="10" xfId="0" applyFont="1" applyBorder="1"/>
    <xf numFmtId="165" fontId="31" fillId="0" borderId="12" xfId="0" applyNumberFormat="1" applyFont="1" applyBorder="1"/>
    <xf numFmtId="0" fontId="45" fillId="28" borderId="10" xfId="0" applyFont="1" applyFill="1" applyBorder="1" applyAlignment="1">
      <alignment horizontal="center" wrapText="1"/>
    </xf>
    <xf numFmtId="0" fontId="45" fillId="28" borderId="10" xfId="0" applyFont="1" applyFill="1" applyBorder="1" applyAlignment="1">
      <alignment horizontal="center"/>
    </xf>
    <xf numFmtId="0" fontId="45" fillId="28" borderId="12" xfId="0" applyFont="1" applyFill="1" applyBorder="1" applyAlignment="1">
      <alignment horizontal="center"/>
    </xf>
    <xf numFmtId="0" fontId="45" fillId="28" borderId="12" xfId="0" applyFont="1" applyFill="1" applyBorder="1" applyAlignment="1">
      <alignment horizontal="center"/>
    </xf>
    <xf numFmtId="0" fontId="45" fillId="28" borderId="12" xfId="0" applyFont="1" applyFill="1" applyBorder="1" applyAlignment="1">
      <alignment horizontal="center"/>
    </xf>
    <xf numFmtId="0" fontId="45" fillId="28" borderId="12" xfId="0" applyFont="1" applyFill="1" applyBorder="1" applyAlignment="1">
      <alignment horizontal="center"/>
    </xf>
    <xf numFmtId="0" fontId="0" fillId="0" borderId="0" xfId="0"/>
    <xf numFmtId="165" fontId="31" fillId="0" borderId="12" xfId="0" applyNumberFormat="1" applyFont="1" applyBorder="1"/>
    <xf numFmtId="0" fontId="45" fillId="28" borderId="12" xfId="0" applyFont="1" applyFill="1" applyBorder="1" applyAlignment="1">
      <alignment horizontal="center"/>
    </xf>
    <xf numFmtId="0" fontId="0" fillId="0" borderId="0" xfId="0"/>
    <xf numFmtId="0" fontId="0" fillId="0" borderId="12" xfId="0" applyBorder="1"/>
    <xf numFmtId="167" fontId="0" fillId="0" borderId="12" xfId="0" applyNumberFormat="1" applyBorder="1"/>
    <xf numFmtId="0" fontId="31" fillId="0" borderId="10" xfId="0" applyFont="1" applyBorder="1"/>
    <xf numFmtId="166" fontId="31" fillId="0" borderId="12" xfId="0" applyNumberFormat="1" applyFont="1" applyBorder="1"/>
    <xf numFmtId="170" fontId="31" fillId="0" borderId="12" xfId="0" applyNumberFormat="1" applyFont="1" applyBorder="1"/>
    <xf numFmtId="0" fontId="45" fillId="28" borderId="20" xfId="0" applyFont="1" applyFill="1" applyBorder="1" applyAlignment="1">
      <alignment horizontal="center"/>
    </xf>
    <xf numFmtId="0" fontId="45" fillId="28" borderId="12" xfId="0" applyFont="1" applyFill="1" applyBorder="1" applyAlignment="1">
      <alignment horizontal="center"/>
    </xf>
    <xf numFmtId="0" fontId="45" fillId="28" borderId="15" xfId="0" applyFont="1" applyFill="1" applyBorder="1" applyAlignment="1">
      <alignment horizontal="center"/>
    </xf>
    <xf numFmtId="0" fontId="31" fillId="0" borderId="10" xfId="0" applyFont="1" applyBorder="1"/>
    <xf numFmtId="165" fontId="31" fillId="0" borderId="12" xfId="0" applyNumberFormat="1" applyFont="1" applyBorder="1"/>
    <xf numFmtId="0" fontId="45" fillId="28" borderId="10" xfId="0" applyFont="1" applyFill="1" applyBorder="1" applyAlignment="1">
      <alignment horizontal="center" wrapText="1"/>
    </xf>
    <xf numFmtId="0" fontId="45" fillId="28" borderId="10" xfId="0" applyFont="1" applyFill="1" applyBorder="1" applyAlignment="1">
      <alignment horizontal="center"/>
    </xf>
    <xf numFmtId="0" fontId="45" fillId="28" borderId="12" xfId="0" applyFont="1" applyFill="1" applyBorder="1" applyAlignment="1">
      <alignment horizontal="center"/>
    </xf>
    <xf numFmtId="0" fontId="31" fillId="0" borderId="10" xfId="0" applyFont="1" applyBorder="1"/>
    <xf numFmtId="165" fontId="31" fillId="0" borderId="12" xfId="0" applyNumberFormat="1" applyFont="1" applyBorder="1"/>
    <xf numFmtId="0" fontId="45" fillId="28" borderId="10" xfId="0" applyFont="1" applyFill="1" applyBorder="1" applyAlignment="1">
      <alignment horizontal="center" wrapText="1"/>
    </xf>
    <xf numFmtId="0" fontId="45" fillId="28" borderId="10" xfId="0" applyFont="1" applyFill="1" applyBorder="1" applyAlignment="1">
      <alignment horizontal="center"/>
    </xf>
    <xf numFmtId="0" fontId="45" fillId="28" borderId="12" xfId="0" applyFont="1" applyFill="1" applyBorder="1" applyAlignment="1">
      <alignment horizontal="center"/>
    </xf>
    <xf numFmtId="166" fontId="0" fillId="0" borderId="0" xfId="0" applyNumberFormat="1"/>
    <xf numFmtId="0" fontId="0" fillId="0" borderId="12" xfId="0" applyBorder="1"/>
    <xf numFmtId="166" fontId="31" fillId="0" borderId="12" xfId="0" applyNumberFormat="1" applyFont="1" applyBorder="1"/>
    <xf numFmtId="0" fontId="31" fillId="0" borderId="12" xfId="0" applyFont="1" applyBorder="1"/>
    <xf numFmtId="167" fontId="31" fillId="0" borderId="12" xfId="0" applyNumberFormat="1" applyFont="1" applyBorder="1"/>
    <xf numFmtId="0" fontId="0" fillId="0" borderId="10" xfId="0" applyBorder="1"/>
    <xf numFmtId="0" fontId="0" fillId="0" borderId="13" xfId="0" applyBorder="1"/>
    <xf numFmtId="0" fontId="45" fillId="28" borderId="12" xfId="0" applyFont="1" applyFill="1" applyBorder="1" applyAlignment="1">
      <alignment horizontal="center"/>
    </xf>
    <xf numFmtId="0" fontId="0" fillId="0" borderId="0" xfId="0"/>
    <xf numFmtId="0" fontId="31" fillId="0" borderId="0" xfId="0" applyFont="1" applyFill="1" applyBorder="1"/>
    <xf numFmtId="0" fontId="0" fillId="0" borderId="12" xfId="0" applyBorder="1"/>
    <xf numFmtId="166" fontId="31" fillId="0" borderId="12" xfId="0" applyNumberFormat="1" applyFont="1" applyBorder="1"/>
    <xf numFmtId="0" fontId="31" fillId="0" borderId="12" xfId="0" applyFont="1" applyBorder="1"/>
    <xf numFmtId="167" fontId="31" fillId="0" borderId="12" xfId="0" applyNumberFormat="1" applyFont="1" applyBorder="1"/>
    <xf numFmtId="0" fontId="0" fillId="0" borderId="10" xfId="0" applyBorder="1"/>
    <xf numFmtId="0" fontId="0" fillId="0" borderId="13" xfId="0" applyBorder="1"/>
    <xf numFmtId="0" fontId="45" fillId="28" borderId="20" xfId="0" applyFont="1" applyFill="1" applyBorder="1" applyAlignment="1">
      <alignment horizontal="center"/>
    </xf>
    <xf numFmtId="0" fontId="45" fillId="28" borderId="12" xfId="0" applyFont="1" applyFill="1" applyBorder="1" applyAlignment="1">
      <alignment horizontal="center"/>
    </xf>
    <xf numFmtId="0" fontId="0" fillId="0" borderId="0" xfId="0"/>
    <xf numFmtId="2" fontId="0" fillId="0" borderId="0" xfId="0" applyNumberFormat="1"/>
    <xf numFmtId="0" fontId="23" fillId="0" borderId="12" xfId="55" applyFont="1" applyBorder="1"/>
    <xf numFmtId="0" fontId="4" fillId="0" borderId="12" xfId="55" applyFill="1" applyBorder="1"/>
    <xf numFmtId="9" fontId="4" fillId="0" borderId="12" xfId="2" applyBorder="1"/>
    <xf numFmtId="170" fontId="4" fillId="0" borderId="12" xfId="55" applyNumberFormat="1" applyFill="1" applyBorder="1"/>
    <xf numFmtId="0" fontId="0" fillId="0" borderId="0" xfId="0"/>
    <xf numFmtId="0" fontId="0" fillId="0" borderId="0" xfId="0" applyFill="1"/>
    <xf numFmtId="0" fontId="23" fillId="0" borderId="12" xfId="55" applyFont="1" applyFill="1" applyBorder="1" applyAlignment="1">
      <alignment horizontal="center"/>
    </xf>
    <xf numFmtId="0" fontId="23" fillId="0" borderId="12" xfId="55" applyFont="1" applyBorder="1" applyAlignment="1">
      <alignment horizontal="center"/>
    </xf>
    <xf numFmtId="4" fontId="23" fillId="0" borderId="12" xfId="55" applyNumberFormat="1" applyFont="1" applyBorder="1" applyAlignment="1">
      <alignment horizontal="center"/>
    </xf>
    <xf numFmtId="169" fontId="32" fillId="0" borderId="0" xfId="133" applyNumberFormat="1" applyFont="1" applyFill="1" applyBorder="1"/>
    <xf numFmtId="10" fontId="32" fillId="0" borderId="0" xfId="0" applyNumberFormat="1" applyFont="1" applyFill="1" applyBorder="1"/>
    <xf numFmtId="3" fontId="32" fillId="0" borderId="0" xfId="0" applyNumberFormat="1" applyFont="1" applyFill="1" applyBorder="1"/>
    <xf numFmtId="3" fontId="31" fillId="0" borderId="0" xfId="0" applyNumberFormat="1" applyFont="1" applyBorder="1"/>
    <xf numFmtId="3" fontId="4" fillId="0" borderId="12" xfId="3" applyNumberFormat="1" applyFont="1" applyFill="1" applyBorder="1"/>
    <xf numFmtId="3" fontId="4" fillId="0" borderId="12" xfId="3" applyNumberFormat="1" applyBorder="1"/>
    <xf numFmtId="0" fontId="45" fillId="28" borderId="15" xfId="0" applyFont="1" applyFill="1" applyBorder="1" applyAlignment="1">
      <alignment horizontal="center"/>
    </xf>
    <xf numFmtId="9" fontId="31" fillId="0" borderId="12" xfId="0" applyNumberFormat="1" applyFont="1" applyBorder="1"/>
    <xf numFmtId="0" fontId="45" fillId="0" borderId="12" xfId="0" applyFont="1" applyBorder="1"/>
    <xf numFmtId="1" fontId="45" fillId="0" borderId="12" xfId="0" applyNumberFormat="1" applyFont="1" applyBorder="1"/>
    <xf numFmtId="0" fontId="31" fillId="28" borderId="12" xfId="0" applyFont="1" applyFill="1" applyBorder="1"/>
    <xf numFmtId="0" fontId="45" fillId="28" borderId="12" xfId="0" applyFont="1" applyFill="1" applyBorder="1"/>
    <xf numFmtId="0" fontId="0" fillId="28" borderId="12" xfId="0" applyFill="1" applyBorder="1" applyAlignment="1"/>
    <xf numFmtId="0" fontId="27" fillId="0" borderId="0" xfId="0" applyFont="1" applyBorder="1"/>
    <xf numFmtId="0" fontId="27" fillId="0" borderId="0" xfId="0" applyFont="1" applyBorder="1" applyAlignment="1">
      <alignment horizontal="center"/>
    </xf>
    <xf numFmtId="170" fontId="31" fillId="0" borderId="12" xfId="0" applyNumberFormat="1" applyFont="1" applyBorder="1" applyAlignment="1">
      <alignment horizontal="right"/>
    </xf>
    <xf numFmtId="167" fontId="31" fillId="0" borderId="12" xfId="0" applyNumberFormat="1" applyFont="1" applyBorder="1" applyAlignment="1">
      <alignment horizontal="right"/>
    </xf>
    <xf numFmtId="0" fontId="31" fillId="0" borderId="12" xfId="0" applyFont="1" applyFill="1" applyBorder="1"/>
    <xf numFmtId="0" fontId="4" fillId="0" borderId="12" xfId="0" applyFont="1" applyBorder="1" applyAlignment="1">
      <alignment horizontal="center"/>
    </xf>
    <xf numFmtId="0" fontId="31" fillId="0" borderId="12" xfId="0" applyFont="1" applyBorder="1" applyAlignment="1">
      <alignment horizontal="center"/>
    </xf>
    <xf numFmtId="0" fontId="45" fillId="0" borderId="12" xfId="0" applyFont="1" applyBorder="1" applyAlignment="1">
      <alignment horizontal="center"/>
    </xf>
    <xf numFmtId="3" fontId="4" fillId="0" borderId="12" xfId="0" applyNumberFormat="1" applyFont="1" applyBorder="1" applyAlignment="1">
      <alignment horizontal="center"/>
    </xf>
    <xf numFmtId="3" fontId="45" fillId="0" borderId="12" xfId="0" applyNumberFormat="1" applyFont="1" applyBorder="1" applyAlignment="1">
      <alignment horizontal="center"/>
    </xf>
    <xf numFmtId="3" fontId="45" fillId="0" borderId="12" xfId="0" applyNumberFormat="1" applyFont="1" applyBorder="1"/>
    <xf numFmtId="0" fontId="3" fillId="28" borderId="12" xfId="0" applyFont="1" applyFill="1" applyBorder="1" applyAlignment="1">
      <alignment horizontal="right" wrapText="1"/>
    </xf>
    <xf numFmtId="42" fontId="2" fillId="0" borderId="0" xfId="133" applyNumberFormat="1" applyFont="1" applyBorder="1"/>
    <xf numFmtId="42" fontId="2" fillId="0" borderId="0" xfId="0" applyNumberFormat="1" applyFont="1" applyBorder="1"/>
    <xf numFmtId="0" fontId="31" fillId="28" borderId="15" xfId="0" applyFont="1" applyFill="1" applyBorder="1" applyAlignment="1">
      <alignment horizontal="center"/>
    </xf>
    <xf numFmtId="0" fontId="31" fillId="28" borderId="20" xfId="0" applyFont="1" applyFill="1" applyBorder="1" applyAlignment="1">
      <alignment horizontal="center"/>
    </xf>
    <xf numFmtId="0" fontId="45" fillId="28" borderId="10" xfId="0" applyFont="1" applyFill="1" applyBorder="1" applyAlignment="1">
      <alignment horizontal="center"/>
    </xf>
    <xf numFmtId="0" fontId="45" fillId="28" borderId="13" xfId="0" applyFont="1" applyFill="1" applyBorder="1" applyAlignment="1">
      <alignment horizontal="center"/>
    </xf>
    <xf numFmtId="0" fontId="45" fillId="28" borderId="15" xfId="0" applyFont="1" applyFill="1" applyBorder="1" applyAlignment="1">
      <alignment horizontal="center"/>
    </xf>
    <xf numFmtId="0" fontId="45" fillId="28" borderId="20" xfId="0" applyFont="1" applyFill="1" applyBorder="1" applyAlignment="1">
      <alignment horizontal="center"/>
    </xf>
    <xf numFmtId="0" fontId="45" fillId="28" borderId="21" xfId="0" applyFont="1" applyFill="1" applyBorder="1" applyAlignment="1">
      <alignment horizontal="center"/>
    </xf>
    <xf numFmtId="0" fontId="45" fillId="28" borderId="14" xfId="0" applyFont="1" applyFill="1" applyBorder="1" applyAlignment="1">
      <alignment horizontal="center"/>
    </xf>
    <xf numFmtId="0" fontId="23" fillId="0" borderId="10" xfId="55" applyFont="1" applyFill="1" applyBorder="1" applyAlignment="1">
      <alignment horizontal="center"/>
    </xf>
    <xf numFmtId="0" fontId="23" fillId="0" borderId="13" xfId="55" applyFont="1" applyFill="1" applyBorder="1" applyAlignment="1">
      <alignment horizontal="center"/>
    </xf>
    <xf numFmtId="0" fontId="3" fillId="0" borderId="0" xfId="0" applyFont="1" applyAlignment="1">
      <alignment horizontal="center"/>
    </xf>
    <xf numFmtId="0" fontId="0" fillId="0" borderId="0" xfId="0" applyBorder="1" applyAlignment="1">
      <alignment horizontal="left" vertical="center"/>
    </xf>
    <xf numFmtId="0" fontId="0" fillId="0" borderId="0" xfId="0" applyAlignment="1">
      <alignment horizontal="center"/>
    </xf>
  </cellXfs>
  <cellStyles count="150">
    <cellStyle name="20% - Accent1 2" xfId="5"/>
    <cellStyle name="20% - Accent1 3" xfId="56"/>
    <cellStyle name="20% - Accent2 2" xfId="6"/>
    <cellStyle name="20% - Accent2 3" xfId="57"/>
    <cellStyle name="20% - Accent3 2" xfId="7"/>
    <cellStyle name="20% - Accent3 3" xfId="58"/>
    <cellStyle name="20% - Accent4 2" xfId="8"/>
    <cellStyle name="20% - Accent4 3" xfId="59"/>
    <cellStyle name="20% - Accent5 2" xfId="9"/>
    <cellStyle name="20% - Accent5 3" xfId="60"/>
    <cellStyle name="20% - Accent6 2" xfId="10"/>
    <cellStyle name="20% - Accent6 3" xfId="61"/>
    <cellStyle name="40% - Accent1 2" xfId="11"/>
    <cellStyle name="40% - Accent1 3" xfId="62"/>
    <cellStyle name="40% - Accent2 2" xfId="12"/>
    <cellStyle name="40% - Accent2 3" xfId="63"/>
    <cellStyle name="40% - Accent3 2" xfId="13"/>
    <cellStyle name="40% - Accent3 3" xfId="64"/>
    <cellStyle name="40% - Accent4 2" xfId="14"/>
    <cellStyle name="40% - Accent4 3" xfId="65"/>
    <cellStyle name="40% - Accent5 2" xfId="15"/>
    <cellStyle name="40% - Accent5 3" xfId="66"/>
    <cellStyle name="40% - Accent6 2" xfId="16"/>
    <cellStyle name="40% - Accent6 3" xfId="67"/>
    <cellStyle name="60% - Accent1 2" xfId="17"/>
    <cellStyle name="60% - Accent1 3" xfId="68"/>
    <cellStyle name="60% - Accent2 2" xfId="18"/>
    <cellStyle name="60% - Accent2 3" xfId="69"/>
    <cellStyle name="60% - Accent3 2" xfId="19"/>
    <cellStyle name="60% - Accent3 3" xfId="70"/>
    <cellStyle name="60% - Accent4 2" xfId="20"/>
    <cellStyle name="60% - Accent4 3" xfId="71"/>
    <cellStyle name="60% - Accent5 2" xfId="21"/>
    <cellStyle name="60% - Accent5 3" xfId="72"/>
    <cellStyle name="60% - Accent6 2" xfId="22"/>
    <cellStyle name="60% - Accent6 3" xfId="73"/>
    <cellStyle name="Accent1 2" xfId="23"/>
    <cellStyle name="Accent1 3" xfId="74"/>
    <cellStyle name="Accent2 2" xfId="24"/>
    <cellStyle name="Accent2 3" xfId="75"/>
    <cellStyle name="Accent3 2" xfId="25"/>
    <cellStyle name="Accent3 3" xfId="76"/>
    <cellStyle name="Accent4 2" xfId="26"/>
    <cellStyle name="Accent4 3" xfId="77"/>
    <cellStyle name="Accent5 2" xfId="27"/>
    <cellStyle name="Accent5 3" xfId="78"/>
    <cellStyle name="Accent6 2" xfId="28"/>
    <cellStyle name="Accent6 3" xfId="79"/>
    <cellStyle name="Bad 2" xfId="29"/>
    <cellStyle name="Bad 3" xfId="80"/>
    <cellStyle name="Calculation 2" xfId="30"/>
    <cellStyle name="Calculation 2 2" xfId="81"/>
    <cellStyle name="Calculation 3" xfId="82"/>
    <cellStyle name="Calculation 3 2" xfId="83"/>
    <cellStyle name="Check Cell 2" xfId="31"/>
    <cellStyle name="Check Cell 3" xfId="84"/>
    <cellStyle name="Comma 2" xfId="4"/>
    <cellStyle name="Comma 2 2" xfId="85"/>
    <cellStyle name="Comma 3" xfId="86"/>
    <cellStyle name="Currency" xfId="133" builtinId="4"/>
    <cellStyle name="Currency 2" xfId="87"/>
    <cellStyle name="Explanatory Text 2" xfId="32"/>
    <cellStyle name="Explanatory Text 3" xfId="88"/>
    <cellStyle name="Good 2" xfId="33"/>
    <cellStyle name="Good 3" xfId="89"/>
    <cellStyle name="Heading 1 2" xfId="34"/>
    <cellStyle name="Heading 1 3" xfId="90"/>
    <cellStyle name="Heading 2 2" xfId="35"/>
    <cellStyle name="Heading 2 3" xfId="91"/>
    <cellStyle name="Heading 3 2" xfId="36"/>
    <cellStyle name="Heading 3 3" xfId="92"/>
    <cellStyle name="Heading 4 2" xfId="37"/>
    <cellStyle name="Heading 4 3" xfId="93"/>
    <cellStyle name="Hyperlink" xfId="134" builtinId="8"/>
    <cellStyle name="Hyperlink 2" xfId="135"/>
    <cellStyle name="Input 2" xfId="38"/>
    <cellStyle name="Input 2 2" xfId="94"/>
    <cellStyle name="Input 3" xfId="95"/>
    <cellStyle name="Input 3 2" xfId="96"/>
    <cellStyle name="Linked Cell 2" xfId="39"/>
    <cellStyle name="Linked Cell 3" xfId="97"/>
    <cellStyle name="Neutral 2" xfId="40"/>
    <cellStyle name="Neutral 3" xfId="98"/>
    <cellStyle name="Normal" xfId="0" builtinId="0"/>
    <cellStyle name="Normal 10" xfId="55"/>
    <cellStyle name="Normal 100" xfId="136"/>
    <cellStyle name="Normal 103" xfId="137"/>
    <cellStyle name="Normal 11" xfId="99"/>
    <cellStyle name="Normal 11 2" xfId="100"/>
    <cellStyle name="Normal 11 3" xfId="101"/>
    <cellStyle name="Normal 12" xfId="102"/>
    <cellStyle name="Normal 2" xfId="1"/>
    <cellStyle name="Normal 2 2" xfId="54"/>
    <cellStyle name="Normal 2 2 2" xfId="127"/>
    <cellStyle name="Normal 2 2 3" xfId="149"/>
    <cellStyle name="Normal 2 3" xfId="53"/>
    <cellStyle name="Normal 3" xfId="3"/>
    <cellStyle name="Normal 3 2" xfId="103"/>
    <cellStyle name="Normal 4" xfId="41"/>
    <cellStyle name="Normal 4 2" xfId="49"/>
    <cellStyle name="Normal 4 2 2" xfId="104"/>
    <cellStyle name="Normal 4 2 3" xfId="130"/>
    <cellStyle name="Normal 4 3" xfId="105"/>
    <cellStyle name="Normal 4 4" xfId="128"/>
    <cellStyle name="Normal 4_Energy Model" xfId="50"/>
    <cellStyle name="Normal 5" xfId="51"/>
    <cellStyle name="Normal 5 2" xfId="106"/>
    <cellStyle name="Normal 5 3" xfId="131"/>
    <cellStyle name="Normal 6" xfId="107"/>
    <cellStyle name="Normal 6 2" xfId="138"/>
    <cellStyle name="Normal 6 3" xfId="139"/>
    <cellStyle name="Normal 7" xfId="108"/>
    <cellStyle name="Normal 8" xfId="109"/>
    <cellStyle name="Normal 9" xfId="110"/>
    <cellStyle name="Note 2" xfId="42"/>
    <cellStyle name="Note 2 2" xfId="111"/>
    <cellStyle name="Note 3" xfId="112"/>
    <cellStyle name="Note 3 2" xfId="113"/>
    <cellStyle name="Output 2" xfId="43"/>
    <cellStyle name="Output 2 2" xfId="114"/>
    <cellStyle name="Output 3" xfId="115"/>
    <cellStyle name="Output 3 2" xfId="116"/>
    <cellStyle name="Percent 2" xfId="2"/>
    <cellStyle name="Percent 2 2" xfId="117"/>
    <cellStyle name="Percent 2 3" xfId="140"/>
    <cellStyle name="Percent 3" xfId="44"/>
    <cellStyle name="Percent 3 2" xfId="118"/>
    <cellStyle name="Percent 4" xfId="45"/>
    <cellStyle name="Percent 4 2" xfId="52"/>
    <cellStyle name="Percent 4 2 2" xfId="119"/>
    <cellStyle name="Percent 4 2 3" xfId="132"/>
    <cellStyle name="Percent 4 3" xfId="120"/>
    <cellStyle name="Percent 4 4" xfId="129"/>
    <cellStyle name="Percent 5" xfId="121"/>
    <cellStyle name="Style 1" xfId="141"/>
    <cellStyle name="Style 1 2" xfId="142"/>
    <cellStyle name="Style 1 2 2" xfId="143"/>
    <cellStyle name="Style 1 3" xfId="144"/>
    <cellStyle name="Style 1 3 2" xfId="145"/>
    <cellStyle name="Style 1 3 3" xfId="146"/>
    <cellStyle name="Style 1 4" xfId="147"/>
    <cellStyle name="Style 1 5" xfId="148"/>
    <cellStyle name="Title 2" xfId="46"/>
    <cellStyle name="Title 3" xfId="122"/>
    <cellStyle name="Total 2" xfId="47"/>
    <cellStyle name="Total 2 2" xfId="123"/>
    <cellStyle name="Total 3" xfId="124"/>
    <cellStyle name="Total 3 2" xfId="125"/>
    <cellStyle name="Warning Text 2" xfId="48"/>
    <cellStyle name="Warning Text 3" xfId="12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'Report Tables'!$A$7</c:f>
              <c:strCache>
                <c:ptCount val="1"/>
                <c:pt idx="0">
                  <c:v>Development</c:v>
                </c:pt>
              </c:strCache>
            </c:strRef>
          </c:tx>
          <c:invertIfNegative val="0"/>
          <c:cat>
            <c:numRef>
              <c:f>'Report Graphs'!$B$4:$E$4</c:f>
              <c:numCache>
                <c:formatCode>General</c:formatCode>
                <c:ptCount val="4"/>
                <c:pt idx="0">
                  <c:v>4</c:v>
                </c:pt>
                <c:pt idx="1">
                  <c:v>40</c:v>
                </c:pt>
                <c:pt idx="2">
                  <c:v>200</c:v>
                </c:pt>
                <c:pt idx="3">
                  <c:v>400</c:v>
                </c:pt>
              </c:numCache>
            </c:numRef>
          </c:cat>
          <c:val>
            <c:numRef>
              <c:f>'Report Tables'!$B$7:$E$7</c:f>
              <c:numCache>
                <c:formatCode>"$"#,##0</c:formatCode>
                <c:ptCount val="4"/>
                <c:pt idx="0">
                  <c:v>10800</c:v>
                </c:pt>
                <c:pt idx="1">
                  <c:v>22300</c:v>
                </c:pt>
                <c:pt idx="2">
                  <c:v>42700</c:v>
                </c:pt>
                <c:pt idx="3">
                  <c:v>49000</c:v>
                </c:pt>
              </c:numCache>
            </c:numRef>
          </c:val>
        </c:ser>
        <c:ser>
          <c:idx val="1"/>
          <c:order val="1"/>
          <c:tx>
            <c:strRef>
              <c:f>'Report Tables'!$A$8</c:f>
              <c:strCache>
                <c:ptCount val="1"/>
                <c:pt idx="0">
                  <c:v>Infrastructure</c:v>
                </c:pt>
              </c:strCache>
            </c:strRef>
          </c:tx>
          <c:invertIfNegative val="0"/>
          <c:cat>
            <c:numRef>
              <c:f>'Report Graphs'!$B$4:$E$4</c:f>
              <c:numCache>
                <c:formatCode>General</c:formatCode>
                <c:ptCount val="4"/>
                <c:pt idx="0">
                  <c:v>4</c:v>
                </c:pt>
                <c:pt idx="1">
                  <c:v>40</c:v>
                </c:pt>
                <c:pt idx="2">
                  <c:v>200</c:v>
                </c:pt>
                <c:pt idx="3">
                  <c:v>400</c:v>
                </c:pt>
              </c:numCache>
            </c:numRef>
          </c:cat>
          <c:val>
            <c:numRef>
              <c:f>'Report Tables'!$B$8:$E$8</c:f>
              <c:numCache>
                <c:formatCode>"$"#,##0</c:formatCode>
                <c:ptCount val="4"/>
                <c:pt idx="0">
                  <c:v>34900</c:v>
                </c:pt>
                <c:pt idx="1">
                  <c:v>36100</c:v>
                </c:pt>
                <c:pt idx="2">
                  <c:v>74800</c:v>
                </c:pt>
                <c:pt idx="3">
                  <c:v>119700</c:v>
                </c:pt>
              </c:numCache>
            </c:numRef>
          </c:val>
        </c:ser>
        <c:ser>
          <c:idx val="3"/>
          <c:order val="2"/>
          <c:tx>
            <c:strRef>
              <c:f>'Report Tables'!$A$9</c:f>
              <c:strCache>
                <c:ptCount val="1"/>
                <c:pt idx="0">
                  <c:v>Mooring/Foundation</c:v>
                </c:pt>
              </c:strCache>
            </c:strRef>
          </c:tx>
          <c:spPr>
            <a:solidFill>
              <a:srgbClr val="FFC000"/>
            </a:solidFill>
          </c:spPr>
          <c:invertIfNegative val="0"/>
          <c:cat>
            <c:numRef>
              <c:f>'Report Graphs'!$B$4:$E$4</c:f>
              <c:numCache>
                <c:formatCode>General</c:formatCode>
                <c:ptCount val="4"/>
                <c:pt idx="0">
                  <c:v>4</c:v>
                </c:pt>
                <c:pt idx="1">
                  <c:v>40</c:v>
                </c:pt>
                <c:pt idx="2">
                  <c:v>200</c:v>
                </c:pt>
                <c:pt idx="3">
                  <c:v>400</c:v>
                </c:pt>
              </c:numCache>
            </c:numRef>
          </c:cat>
          <c:val>
            <c:numRef>
              <c:f>'Report Tables'!$B$9:$E$9</c:f>
              <c:numCache>
                <c:formatCode>"$"#,##0</c:formatCode>
                <c:ptCount val="4"/>
                <c:pt idx="0">
                  <c:v>2200</c:v>
                </c:pt>
                <c:pt idx="1">
                  <c:v>18400</c:v>
                </c:pt>
                <c:pt idx="2">
                  <c:v>89900</c:v>
                </c:pt>
                <c:pt idx="3">
                  <c:v>179500</c:v>
                </c:pt>
              </c:numCache>
            </c:numRef>
          </c:val>
        </c:ser>
        <c:ser>
          <c:idx val="4"/>
          <c:order val="3"/>
          <c:tx>
            <c:strRef>
              <c:f>'Report Tables'!$A$10</c:f>
              <c:strCache>
                <c:ptCount val="1"/>
                <c:pt idx="0">
                  <c:v>Device Structural Components</c:v>
                </c:pt>
              </c:strCache>
            </c:strRef>
          </c:tx>
          <c:spPr>
            <a:solidFill>
              <a:srgbClr val="00B050"/>
            </a:solidFill>
          </c:spPr>
          <c:invertIfNegative val="0"/>
          <c:cat>
            <c:numRef>
              <c:f>'Report Graphs'!$B$4:$E$4</c:f>
              <c:numCache>
                <c:formatCode>General</c:formatCode>
                <c:ptCount val="4"/>
                <c:pt idx="0">
                  <c:v>4</c:v>
                </c:pt>
                <c:pt idx="1">
                  <c:v>40</c:v>
                </c:pt>
                <c:pt idx="2">
                  <c:v>200</c:v>
                </c:pt>
                <c:pt idx="3">
                  <c:v>400</c:v>
                </c:pt>
              </c:numCache>
            </c:numRef>
          </c:cat>
          <c:val>
            <c:numRef>
              <c:f>'Report Tables'!$B$10:$E$10</c:f>
              <c:numCache>
                <c:formatCode>"$"#,##0</c:formatCode>
                <c:ptCount val="4"/>
                <c:pt idx="0">
                  <c:v>8900</c:v>
                </c:pt>
                <c:pt idx="1">
                  <c:v>58600</c:v>
                </c:pt>
                <c:pt idx="2">
                  <c:v>249500</c:v>
                </c:pt>
                <c:pt idx="3">
                  <c:v>475800</c:v>
                </c:pt>
              </c:numCache>
            </c:numRef>
          </c:val>
        </c:ser>
        <c:ser>
          <c:idx val="5"/>
          <c:order val="4"/>
          <c:tx>
            <c:strRef>
              <c:f>'Report Tables'!$A$11</c:f>
              <c:strCache>
                <c:ptCount val="1"/>
                <c:pt idx="0">
                  <c:v>Power Take Off</c:v>
                </c:pt>
              </c:strCache>
            </c:strRef>
          </c:tx>
          <c:invertIfNegative val="0"/>
          <c:cat>
            <c:numRef>
              <c:f>'Report Graphs'!$B$4:$E$4</c:f>
              <c:numCache>
                <c:formatCode>General</c:formatCode>
                <c:ptCount val="4"/>
                <c:pt idx="0">
                  <c:v>4</c:v>
                </c:pt>
                <c:pt idx="1">
                  <c:v>40</c:v>
                </c:pt>
                <c:pt idx="2">
                  <c:v>200</c:v>
                </c:pt>
                <c:pt idx="3">
                  <c:v>400</c:v>
                </c:pt>
              </c:numCache>
            </c:numRef>
          </c:cat>
          <c:val>
            <c:numRef>
              <c:f>'Report Tables'!$B$11:$E$11</c:f>
              <c:numCache>
                <c:formatCode>"$"#,##0</c:formatCode>
                <c:ptCount val="4"/>
                <c:pt idx="0">
                  <c:v>21600</c:v>
                </c:pt>
                <c:pt idx="1">
                  <c:v>150400</c:v>
                </c:pt>
                <c:pt idx="2">
                  <c:v>600800</c:v>
                </c:pt>
                <c:pt idx="3">
                  <c:v>1098700</c:v>
                </c:pt>
              </c:numCache>
            </c:numRef>
          </c:val>
        </c:ser>
        <c:ser>
          <c:idx val="2"/>
          <c:order val="5"/>
          <c:tx>
            <c:strRef>
              <c:f>'Report Tables'!$A$12</c:f>
              <c:strCache>
                <c:ptCount val="1"/>
                <c:pt idx="0">
                  <c:v>Subsystem Integration &amp; Profit Margin</c:v>
                </c:pt>
              </c:strCache>
            </c:strRef>
          </c:tx>
          <c:invertIfNegative val="0"/>
          <c:cat>
            <c:numRef>
              <c:f>'Report Graphs'!$B$4:$E$4</c:f>
              <c:numCache>
                <c:formatCode>General</c:formatCode>
                <c:ptCount val="4"/>
                <c:pt idx="0">
                  <c:v>4</c:v>
                </c:pt>
                <c:pt idx="1">
                  <c:v>40</c:v>
                </c:pt>
                <c:pt idx="2">
                  <c:v>200</c:v>
                </c:pt>
                <c:pt idx="3">
                  <c:v>400</c:v>
                </c:pt>
              </c:numCache>
            </c:numRef>
          </c:cat>
          <c:val>
            <c:numRef>
              <c:f>'Report Tables'!$B$12:$E$12</c:f>
              <c:numCache>
                <c:formatCode>"$"#,##0</c:formatCode>
                <c:ptCount val="4"/>
                <c:pt idx="0">
                  <c:v>3000</c:v>
                </c:pt>
                <c:pt idx="1">
                  <c:v>20900</c:v>
                </c:pt>
                <c:pt idx="2">
                  <c:v>85000</c:v>
                </c:pt>
                <c:pt idx="3">
                  <c:v>157400</c:v>
                </c:pt>
              </c:numCache>
            </c:numRef>
          </c:val>
        </c:ser>
        <c:ser>
          <c:idx val="6"/>
          <c:order val="6"/>
          <c:tx>
            <c:strRef>
              <c:f>'Report Tables'!$A$13</c:f>
              <c:strCache>
                <c:ptCount val="1"/>
                <c:pt idx="0">
                  <c:v>Installation</c:v>
                </c:pt>
              </c:strCache>
            </c:strRef>
          </c:tx>
          <c:invertIfNegative val="0"/>
          <c:cat>
            <c:numRef>
              <c:f>'Report Graphs'!$B$4:$E$4</c:f>
              <c:numCache>
                <c:formatCode>General</c:formatCode>
                <c:ptCount val="4"/>
                <c:pt idx="0">
                  <c:v>4</c:v>
                </c:pt>
                <c:pt idx="1">
                  <c:v>40</c:v>
                </c:pt>
                <c:pt idx="2">
                  <c:v>200</c:v>
                </c:pt>
                <c:pt idx="3">
                  <c:v>400</c:v>
                </c:pt>
              </c:numCache>
            </c:numRef>
          </c:cat>
          <c:val>
            <c:numRef>
              <c:f>'Report Tables'!$B$13:$E$13</c:f>
              <c:numCache>
                <c:formatCode>"$"#,##0</c:formatCode>
                <c:ptCount val="4"/>
                <c:pt idx="0">
                  <c:v>12800</c:v>
                </c:pt>
                <c:pt idx="1">
                  <c:v>33000</c:v>
                </c:pt>
                <c:pt idx="2">
                  <c:v>95800</c:v>
                </c:pt>
                <c:pt idx="3">
                  <c:v>186500</c:v>
                </c:pt>
              </c:numCache>
            </c:numRef>
          </c:val>
        </c:ser>
        <c:ser>
          <c:idx val="7"/>
          <c:order val="7"/>
          <c:tx>
            <c:strRef>
              <c:f>'Report Tables'!$A$15</c:f>
              <c:strCache>
                <c:ptCount val="1"/>
                <c:pt idx="0">
                  <c:v>Contingency</c:v>
                </c:pt>
              </c:strCache>
            </c:strRef>
          </c:tx>
          <c:invertIfNegative val="0"/>
          <c:cat>
            <c:numRef>
              <c:f>'Report Graphs'!$B$4:$E$4</c:f>
              <c:numCache>
                <c:formatCode>General</c:formatCode>
                <c:ptCount val="4"/>
                <c:pt idx="0">
                  <c:v>4</c:v>
                </c:pt>
                <c:pt idx="1">
                  <c:v>40</c:v>
                </c:pt>
                <c:pt idx="2">
                  <c:v>200</c:v>
                </c:pt>
                <c:pt idx="3">
                  <c:v>400</c:v>
                </c:pt>
              </c:numCache>
            </c:numRef>
          </c:cat>
          <c:val>
            <c:numRef>
              <c:f>'Report Tables'!$B$15:$E$15</c:f>
              <c:numCache>
                <c:formatCode>"$"#,##0</c:formatCode>
                <c:ptCount val="4"/>
                <c:pt idx="0">
                  <c:v>8300</c:v>
                </c:pt>
                <c:pt idx="1">
                  <c:v>31700</c:v>
                </c:pt>
                <c:pt idx="2">
                  <c:v>119600</c:v>
                </c:pt>
                <c:pt idx="3">
                  <c:v>221700</c:v>
                </c:pt>
              </c:numCache>
            </c:numRef>
          </c:val>
        </c:ser>
        <c:dLbls>
          <c:showLegendKey val="0"/>
          <c:showVal val="0"/>
          <c:showCatName val="0"/>
          <c:showSerName val="0"/>
          <c:showPercent val="0"/>
          <c:showBubbleSize val="0"/>
        </c:dLbls>
        <c:gapWidth val="150"/>
        <c:overlap val="100"/>
        <c:axId val="57166464"/>
        <c:axId val="57168640"/>
      </c:barChart>
      <c:catAx>
        <c:axId val="57166464"/>
        <c:scaling>
          <c:orientation val="minMax"/>
        </c:scaling>
        <c:delete val="0"/>
        <c:axPos val="b"/>
        <c:majorGridlines>
          <c:spPr>
            <a:ln>
              <a:solidFill>
                <a:schemeClr val="bg1">
                  <a:lumMod val="85000"/>
                </a:schemeClr>
              </a:solidFill>
            </a:ln>
          </c:spPr>
        </c:majorGridlines>
        <c:title>
          <c:tx>
            <c:rich>
              <a:bodyPr/>
              <a:lstStyle/>
              <a:p>
                <a:pPr>
                  <a:defRPr/>
                </a:pPr>
                <a:r>
                  <a:rPr lang="en-US" baseline="0"/>
                  <a:t>Installed Capacity (MW)</a:t>
                </a:r>
              </a:p>
            </c:rich>
          </c:tx>
          <c:overlay val="0"/>
        </c:title>
        <c:numFmt formatCode="0" sourceLinked="0"/>
        <c:majorTickMark val="out"/>
        <c:minorTickMark val="none"/>
        <c:tickLblPos val="nextTo"/>
        <c:crossAx val="57168640"/>
        <c:crosses val="autoZero"/>
        <c:auto val="1"/>
        <c:lblAlgn val="ctr"/>
        <c:lblOffset val="100"/>
        <c:noMultiLvlLbl val="0"/>
      </c:catAx>
      <c:valAx>
        <c:axId val="57168640"/>
        <c:scaling>
          <c:orientation val="minMax"/>
          <c:min val="0"/>
        </c:scaling>
        <c:delete val="0"/>
        <c:axPos val="l"/>
        <c:majorGridlines>
          <c:spPr>
            <a:ln>
              <a:solidFill>
                <a:schemeClr val="bg1">
                  <a:lumMod val="85000"/>
                </a:schemeClr>
              </a:solidFill>
            </a:ln>
          </c:spPr>
        </c:majorGridlines>
        <c:title>
          <c:tx>
            <c:strRef>
              <c:f>'Report Tables'!$A$4</c:f>
              <c:strCache>
                <c:ptCount val="1"/>
                <c:pt idx="0">
                  <c:v>Total Cost in Thousands ($)</c:v>
                </c:pt>
              </c:strCache>
            </c:strRef>
          </c:tx>
          <c:overlay val="0"/>
          <c:txPr>
            <a:bodyPr rot="-5400000" vert="horz"/>
            <a:lstStyle/>
            <a:p>
              <a:pPr>
                <a:defRPr/>
              </a:pPr>
              <a:endParaRPr lang="en-US"/>
            </a:p>
          </c:txPr>
        </c:title>
        <c:numFmt formatCode="&quot;$&quot;#,##0" sourceLinked="1"/>
        <c:majorTickMark val="out"/>
        <c:minorTickMark val="none"/>
        <c:tickLblPos val="nextTo"/>
        <c:crossAx val="57166464"/>
        <c:crosses val="autoZero"/>
        <c:crossBetween val="between"/>
      </c:valAx>
    </c:plotArea>
    <c:legend>
      <c:legendPos val="r"/>
      <c:overlay val="0"/>
    </c:legend>
    <c:plotVisOnly val="1"/>
    <c:dispBlanksAs val="gap"/>
    <c:showDLblsOverMax val="0"/>
  </c:chart>
  <c:spPr>
    <a:solidFill>
      <a:sysClr val="window" lastClr="FFFFFF"/>
    </a:solid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76048012231785E-2"/>
          <c:y val="3.7855439125480686E-2"/>
          <c:w val="0.86780520587792764"/>
          <c:h val="0.81786333241008191"/>
        </c:manualLayout>
      </c:layout>
      <c:scatterChart>
        <c:scatterStyle val="smoothMarker"/>
        <c:varyColors val="0"/>
        <c:ser>
          <c:idx val="0"/>
          <c:order val="0"/>
          <c:spPr>
            <a:ln w="31750">
              <a:solidFill>
                <a:srgbClr val="0070C0"/>
              </a:solidFill>
              <a:prstDash val="solid"/>
            </a:ln>
          </c:spPr>
          <c:marker>
            <c:symbol val="none"/>
          </c:marker>
          <c:xVal>
            <c:numRef>
              <c:f>'Report Graphs'!$B$216:$U$216</c:f>
              <c:numCache>
                <c:formatCode>General</c:formatCode>
                <c:ptCount val="20"/>
                <c:pt idx="0" formatCode="#,##0.0">
                  <c:v>11.042641236736497</c:v>
                </c:pt>
                <c:pt idx="1">
                  <c:v>11.25258455246281</c:v>
                </c:pt>
                <c:pt idx="2">
                  <c:v>11.462527868189124</c:v>
                </c:pt>
                <c:pt idx="3">
                  <c:v>11.672471183915437</c:v>
                </c:pt>
                <c:pt idx="4">
                  <c:v>11.882414499641751</c:v>
                </c:pt>
                <c:pt idx="5">
                  <c:v>12.092357815368064</c:v>
                </c:pt>
                <c:pt idx="6">
                  <c:v>12.302301131094378</c:v>
                </c:pt>
                <c:pt idx="7">
                  <c:v>12.512244446820691</c:v>
                </c:pt>
                <c:pt idx="8">
                  <c:v>12.722187762547005</c:v>
                </c:pt>
                <c:pt idx="9">
                  <c:v>12.932131078273319</c:v>
                </c:pt>
                <c:pt idx="10">
                  <c:v>13.142074393999632</c:v>
                </c:pt>
                <c:pt idx="11">
                  <c:v>13.352017709725946</c:v>
                </c:pt>
                <c:pt idx="12">
                  <c:v>13.561961025452259</c:v>
                </c:pt>
                <c:pt idx="13">
                  <c:v>13.771904341178573</c:v>
                </c:pt>
                <c:pt idx="14">
                  <c:v>13.981847656904886</c:v>
                </c:pt>
                <c:pt idx="15">
                  <c:v>14.1917909726312</c:v>
                </c:pt>
                <c:pt idx="16">
                  <c:v>14.401734288357513</c:v>
                </c:pt>
                <c:pt idx="17">
                  <c:v>14.611677604083827</c:v>
                </c:pt>
                <c:pt idx="18">
                  <c:v>14.82162091981014</c:v>
                </c:pt>
                <c:pt idx="19">
                  <c:v>15.031564235536454</c:v>
                </c:pt>
              </c:numCache>
            </c:numRef>
          </c:xVal>
          <c:yVal>
            <c:numRef>
              <c:f>'Report Graphs'!$B$217:$U$217</c:f>
              <c:numCache>
                <c:formatCode>0%</c:formatCode>
                <c:ptCount val="20"/>
                <c:pt idx="0">
                  <c:v>0</c:v>
                </c:pt>
                <c:pt idx="1">
                  <c:v>0</c:v>
                </c:pt>
                <c:pt idx="2">
                  <c:v>0</c:v>
                </c:pt>
                <c:pt idx="3">
                  <c:v>0</c:v>
                </c:pt>
                <c:pt idx="4">
                  <c:v>4.0000000000000002E-4</c:v>
                </c:pt>
                <c:pt idx="5">
                  <c:v>4.7999999999999996E-3</c:v>
                </c:pt>
                <c:pt idx="6">
                  <c:v>2.4899999999999999E-2</c:v>
                </c:pt>
                <c:pt idx="7">
                  <c:v>8.8999999999999996E-2</c:v>
                </c:pt>
                <c:pt idx="8">
                  <c:v>0.21790000000000001</c:v>
                </c:pt>
                <c:pt idx="9">
                  <c:v>0.40810000000000002</c:v>
                </c:pt>
                <c:pt idx="10">
                  <c:v>0.62270000000000003</c:v>
                </c:pt>
                <c:pt idx="11">
                  <c:v>0.80740000000000001</c:v>
                </c:pt>
                <c:pt idx="12">
                  <c:v>0.92400000000000004</c:v>
                </c:pt>
                <c:pt idx="13">
                  <c:v>0.9778</c:v>
                </c:pt>
                <c:pt idx="14">
                  <c:v>0.99639999999999995</c:v>
                </c:pt>
                <c:pt idx="15">
                  <c:v>0.99960000000000004</c:v>
                </c:pt>
                <c:pt idx="16">
                  <c:v>1</c:v>
                </c:pt>
                <c:pt idx="17">
                  <c:v>1</c:v>
                </c:pt>
                <c:pt idx="18">
                  <c:v>1</c:v>
                </c:pt>
                <c:pt idx="19">
                  <c:v>1</c:v>
                </c:pt>
              </c:numCache>
            </c:numRef>
          </c:yVal>
          <c:smooth val="1"/>
        </c:ser>
        <c:ser>
          <c:idx val="1"/>
          <c:order val="1"/>
          <c:spPr>
            <a:ln>
              <a:prstDash val="dash"/>
            </a:ln>
          </c:spPr>
          <c:marker>
            <c:symbol val="none"/>
          </c:marker>
          <c:xVal>
            <c:numRef>
              <c:f>('Report Graphs'!$B$221,'Report Graphs'!$B$221)</c:f>
              <c:numCache>
                <c:formatCode>#,##0.00</c:formatCode>
                <c:ptCount val="2"/>
                <c:pt idx="0">
                  <c:v>12.529916763305664</c:v>
                </c:pt>
                <c:pt idx="1">
                  <c:v>12.529916763305664</c:v>
                </c:pt>
              </c:numCache>
            </c:numRef>
          </c:xVal>
          <c:yVal>
            <c:numRef>
              <c:f>('Report Graphs'!$B$217,'Report Graphs'!$U$217)</c:f>
              <c:numCache>
                <c:formatCode>0%</c:formatCode>
                <c:ptCount val="2"/>
                <c:pt idx="0">
                  <c:v>0</c:v>
                </c:pt>
                <c:pt idx="1">
                  <c:v>1</c:v>
                </c:pt>
              </c:numCache>
            </c:numRef>
          </c:yVal>
          <c:smooth val="1"/>
        </c:ser>
        <c:ser>
          <c:idx val="2"/>
          <c:order val="2"/>
          <c:spPr>
            <a:ln>
              <a:prstDash val="dash"/>
            </a:ln>
          </c:spPr>
          <c:marker>
            <c:symbol val="none"/>
          </c:marker>
          <c:xVal>
            <c:numRef>
              <c:f>('Report Graphs'!$B$223,'Report Graphs'!$B$223)</c:f>
              <c:numCache>
                <c:formatCode>#,##0.00</c:formatCode>
                <c:ptCount val="2"/>
                <c:pt idx="0">
                  <c:v>13.518486022949219</c:v>
                </c:pt>
                <c:pt idx="1">
                  <c:v>13.518486022949219</c:v>
                </c:pt>
              </c:numCache>
            </c:numRef>
          </c:xVal>
          <c:yVal>
            <c:numRef>
              <c:f>('Report Graphs'!$B$217,'Report Graphs'!$U$217)</c:f>
              <c:numCache>
                <c:formatCode>0%</c:formatCode>
                <c:ptCount val="2"/>
                <c:pt idx="0">
                  <c:v>0</c:v>
                </c:pt>
                <c:pt idx="1">
                  <c:v>1</c:v>
                </c:pt>
              </c:numCache>
            </c:numRef>
          </c:yVal>
          <c:smooth val="1"/>
        </c:ser>
        <c:dLbls>
          <c:showLegendKey val="0"/>
          <c:showVal val="0"/>
          <c:showCatName val="0"/>
          <c:showSerName val="0"/>
          <c:showPercent val="0"/>
          <c:showBubbleSize val="0"/>
        </c:dLbls>
        <c:axId val="58686464"/>
        <c:axId val="58709120"/>
      </c:scatterChart>
      <c:valAx>
        <c:axId val="58686464"/>
        <c:scaling>
          <c:orientation val="minMax"/>
          <c:min val="10"/>
        </c:scaling>
        <c:delete val="0"/>
        <c:axPos val="b"/>
        <c:majorGridlines>
          <c:spPr>
            <a:ln>
              <a:solidFill>
                <a:schemeClr val="bg1">
                  <a:lumMod val="85000"/>
                </a:schemeClr>
              </a:solidFill>
            </a:ln>
          </c:spPr>
        </c:majorGridlines>
        <c:title>
          <c:tx>
            <c:rich>
              <a:bodyPr/>
              <a:lstStyle/>
              <a:p>
                <a:pPr>
                  <a:defRPr/>
                </a:pPr>
                <a:r>
                  <a:rPr lang="en-US"/>
                  <a:t>Cost of Electricity (cents / kWh)</a:t>
                </a:r>
              </a:p>
            </c:rich>
          </c:tx>
          <c:overlay val="0"/>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8709120"/>
        <c:crosses val="autoZero"/>
        <c:crossBetween val="midCat"/>
      </c:valAx>
      <c:valAx>
        <c:axId val="58709120"/>
        <c:scaling>
          <c:orientation val="minMax"/>
          <c:max val="1"/>
          <c:min val="0"/>
        </c:scaling>
        <c:delete val="0"/>
        <c:axPos val="l"/>
        <c:majorGridlines>
          <c:spPr>
            <a:ln>
              <a:solidFill>
                <a:schemeClr val="bg1">
                  <a:lumMod val="85000"/>
                </a:schemeClr>
              </a:solidFill>
            </a:ln>
          </c:spPr>
        </c:majorGridlines>
        <c:title>
          <c:tx>
            <c:rich>
              <a:bodyPr rot="-5400000" vert="horz"/>
              <a:lstStyle/>
              <a:p>
                <a:pPr>
                  <a:defRPr/>
                </a:pPr>
                <a:r>
                  <a:rPr lang="en-US"/>
                  <a:t>Cumulative Probability</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8686464"/>
        <c:crosses val="autoZero"/>
        <c:crossBetween val="midCat"/>
      </c:valAx>
      <c:spPr>
        <a:solidFill>
          <a:srgbClr val="FFFFFF"/>
        </a:solidFill>
        <a:ln w="3175">
          <a:solidFill>
            <a:srgbClr val="000000"/>
          </a:solidFill>
          <a:prstDash val="solid"/>
        </a:ln>
      </c:spPr>
    </c:plotArea>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'Report Tables'!$A$95</c:f>
              <c:strCache>
                <c:ptCount val="1"/>
                <c:pt idx="0">
                  <c:v>Device</c:v>
                </c:pt>
              </c:strCache>
            </c:strRef>
          </c:tx>
          <c:invertIfNegative val="0"/>
          <c:cat>
            <c:numRef>
              <c:f>'Report Graphs'!$C$4:$E$4</c:f>
              <c:numCache>
                <c:formatCode>General</c:formatCode>
                <c:ptCount val="3"/>
                <c:pt idx="0">
                  <c:v>40</c:v>
                </c:pt>
                <c:pt idx="1">
                  <c:v>200</c:v>
                </c:pt>
                <c:pt idx="2">
                  <c:v>400</c:v>
                </c:pt>
              </c:numCache>
            </c:numRef>
          </c:cat>
          <c:val>
            <c:numRef>
              <c:f>('Report Tables'!$B$95,'Report Tables'!$D$95,'Report Tables'!$F$95)</c:f>
              <c:numCache>
                <c:formatCode>0.0</c:formatCode>
                <c:ptCount val="3"/>
                <c:pt idx="0">
                  <c:v>12.22401504556499</c:v>
                </c:pt>
                <c:pt idx="1">
                  <c:v>10.097131105713039</c:v>
                </c:pt>
                <c:pt idx="2">
                  <c:v>9.4123963569517421</c:v>
                </c:pt>
              </c:numCache>
            </c:numRef>
          </c:val>
        </c:ser>
        <c:ser>
          <c:idx val="1"/>
          <c:order val="1"/>
          <c:tx>
            <c:strRef>
              <c:f>'Report Tables'!$A$96</c:f>
              <c:strCache>
                <c:ptCount val="1"/>
                <c:pt idx="0">
                  <c:v>Infrastructure</c:v>
                </c:pt>
              </c:strCache>
            </c:strRef>
          </c:tx>
          <c:invertIfNegative val="0"/>
          <c:cat>
            <c:numRef>
              <c:f>'Report Graphs'!$C$4:$E$4</c:f>
              <c:numCache>
                <c:formatCode>General</c:formatCode>
                <c:ptCount val="3"/>
                <c:pt idx="0">
                  <c:v>40</c:v>
                </c:pt>
                <c:pt idx="1">
                  <c:v>200</c:v>
                </c:pt>
                <c:pt idx="2">
                  <c:v>400</c:v>
                </c:pt>
              </c:numCache>
            </c:numRef>
          </c:cat>
          <c:val>
            <c:numRef>
              <c:f>('Report Tables'!$B$96,'Report Tables'!$D$96,'Report Tables'!$F$96)</c:f>
              <c:numCache>
                <c:formatCode>0.0</c:formatCode>
                <c:ptCount val="3"/>
                <c:pt idx="0">
                  <c:v>1.7789889455619612</c:v>
                </c:pt>
                <c:pt idx="1">
                  <c:v>0.73717002628069495</c:v>
                </c:pt>
                <c:pt idx="2">
                  <c:v>0.58943535141426773</c:v>
                </c:pt>
              </c:numCache>
            </c:numRef>
          </c:val>
        </c:ser>
        <c:ser>
          <c:idx val="3"/>
          <c:order val="2"/>
          <c:tx>
            <c:strRef>
              <c:f>'Report Tables'!$A$97</c:f>
              <c:strCache>
                <c:ptCount val="1"/>
                <c:pt idx="0">
                  <c:v>Development</c:v>
                </c:pt>
              </c:strCache>
            </c:strRef>
          </c:tx>
          <c:spPr>
            <a:solidFill>
              <a:srgbClr val="FFC000"/>
            </a:solidFill>
          </c:spPr>
          <c:invertIfNegative val="0"/>
          <c:cat>
            <c:numRef>
              <c:f>'Report Graphs'!$C$4:$E$4</c:f>
              <c:numCache>
                <c:formatCode>General</c:formatCode>
                <c:ptCount val="3"/>
                <c:pt idx="0">
                  <c:v>40</c:v>
                </c:pt>
                <c:pt idx="1">
                  <c:v>200</c:v>
                </c:pt>
                <c:pt idx="2">
                  <c:v>400</c:v>
                </c:pt>
              </c:numCache>
            </c:numRef>
          </c:cat>
          <c:val>
            <c:numRef>
              <c:f>('Report Tables'!$B$97,'Report Tables'!$D$97,'Report Tables'!$F$97)</c:f>
              <c:numCache>
                <c:formatCode>0.0</c:formatCode>
                <c:ptCount val="3"/>
                <c:pt idx="0">
                  <c:v>1.0967768601188645</c:v>
                </c:pt>
                <c:pt idx="1">
                  <c:v>0.42052397151635146</c:v>
                </c:pt>
                <c:pt idx="2">
                  <c:v>0.24107789004097216</c:v>
                </c:pt>
              </c:numCache>
            </c:numRef>
          </c:val>
        </c:ser>
        <c:ser>
          <c:idx val="4"/>
          <c:order val="3"/>
          <c:tx>
            <c:strRef>
              <c:f>'Report Tables'!$A$98</c:f>
              <c:strCache>
                <c:ptCount val="1"/>
                <c:pt idx="0">
                  <c:v>Installation</c:v>
                </c:pt>
              </c:strCache>
            </c:strRef>
          </c:tx>
          <c:spPr>
            <a:solidFill>
              <a:srgbClr val="00B050"/>
            </a:solidFill>
          </c:spPr>
          <c:invertIfNegative val="0"/>
          <c:cat>
            <c:numRef>
              <c:f>'Report Graphs'!$C$4:$E$4</c:f>
              <c:numCache>
                <c:formatCode>General</c:formatCode>
                <c:ptCount val="3"/>
                <c:pt idx="0">
                  <c:v>40</c:v>
                </c:pt>
                <c:pt idx="1">
                  <c:v>200</c:v>
                </c:pt>
                <c:pt idx="2">
                  <c:v>400</c:v>
                </c:pt>
              </c:numCache>
            </c:numRef>
          </c:cat>
          <c:val>
            <c:numRef>
              <c:f>('Report Tables'!$B$98,'Report Tables'!$D$98,'Report Tables'!$F$98)</c:f>
              <c:numCache>
                <c:formatCode>0.0</c:formatCode>
                <c:ptCount val="3"/>
                <c:pt idx="0">
                  <c:v>1.6263249918976466</c:v>
                </c:pt>
                <c:pt idx="1">
                  <c:v>0.94370679718550099</c:v>
                </c:pt>
                <c:pt idx="2">
                  <c:v>0.91817531932147656</c:v>
                </c:pt>
              </c:numCache>
            </c:numRef>
          </c:val>
        </c:ser>
        <c:ser>
          <c:idx val="5"/>
          <c:order val="4"/>
          <c:tx>
            <c:strRef>
              <c:f>'Report Tables'!$A$99</c:f>
              <c:strCache>
                <c:ptCount val="1"/>
                <c:pt idx="0">
                  <c:v>Contingency</c:v>
                </c:pt>
              </c:strCache>
            </c:strRef>
          </c:tx>
          <c:invertIfNegative val="0"/>
          <c:cat>
            <c:numRef>
              <c:f>'Report Graphs'!$C$4:$E$4</c:f>
              <c:numCache>
                <c:formatCode>General</c:formatCode>
                <c:ptCount val="3"/>
                <c:pt idx="0">
                  <c:v>40</c:v>
                </c:pt>
                <c:pt idx="1">
                  <c:v>200</c:v>
                </c:pt>
                <c:pt idx="2">
                  <c:v>400</c:v>
                </c:pt>
              </c:numCache>
            </c:numRef>
          </c:cat>
          <c:val>
            <c:numRef>
              <c:f>('Report Tables'!$B$99,'Report Tables'!$D$99,'Report Tables'!$F$99)</c:f>
              <c:numCache>
                <c:formatCode>0.0</c:formatCode>
                <c:ptCount val="3"/>
                <c:pt idx="0">
                  <c:v>1.5629328983024602</c:v>
                </c:pt>
                <c:pt idx="1">
                  <c:v>1.1778007929179235</c:v>
                </c:pt>
                <c:pt idx="2">
                  <c:v>1.0920007027687486</c:v>
                </c:pt>
              </c:numCache>
            </c:numRef>
          </c:val>
        </c:ser>
        <c:ser>
          <c:idx val="2"/>
          <c:order val="5"/>
          <c:tx>
            <c:strRef>
              <c:f>'Report Tables'!$A$100</c:f>
              <c:strCache>
                <c:ptCount val="1"/>
                <c:pt idx="0">
                  <c:v>Operation and Maintenance</c:v>
                </c:pt>
              </c:strCache>
            </c:strRef>
          </c:tx>
          <c:invertIfNegative val="0"/>
          <c:cat>
            <c:numRef>
              <c:f>'Report Graphs'!$C$4:$E$4</c:f>
              <c:numCache>
                <c:formatCode>General</c:formatCode>
                <c:ptCount val="3"/>
                <c:pt idx="0">
                  <c:v>40</c:v>
                </c:pt>
                <c:pt idx="1">
                  <c:v>200</c:v>
                </c:pt>
                <c:pt idx="2">
                  <c:v>400</c:v>
                </c:pt>
              </c:numCache>
            </c:numRef>
          </c:cat>
          <c:val>
            <c:numRef>
              <c:f>('Report Tables'!$B$100,'Report Tables'!$D$100,'Report Tables'!$F$100)</c:f>
              <c:numCache>
                <c:formatCode>0.0</c:formatCode>
                <c:ptCount val="3"/>
                <c:pt idx="0">
                  <c:v>6.3869214713641798</c:v>
                </c:pt>
                <c:pt idx="1">
                  <c:v>3.6919519212998124</c:v>
                </c:pt>
                <c:pt idx="2">
                  <c:v>2.9807024760135401</c:v>
                </c:pt>
              </c:numCache>
            </c:numRef>
          </c:val>
        </c:ser>
        <c:dLbls>
          <c:showLegendKey val="0"/>
          <c:showVal val="0"/>
          <c:showCatName val="0"/>
          <c:showSerName val="0"/>
          <c:showPercent val="0"/>
          <c:showBubbleSize val="0"/>
        </c:dLbls>
        <c:gapWidth val="150"/>
        <c:overlap val="100"/>
        <c:axId val="58811136"/>
        <c:axId val="58813056"/>
      </c:barChart>
      <c:catAx>
        <c:axId val="58811136"/>
        <c:scaling>
          <c:orientation val="minMax"/>
        </c:scaling>
        <c:delete val="0"/>
        <c:axPos val="b"/>
        <c:majorGridlines>
          <c:spPr>
            <a:ln>
              <a:solidFill>
                <a:schemeClr val="bg1">
                  <a:lumMod val="85000"/>
                </a:schemeClr>
              </a:solidFill>
            </a:ln>
          </c:spPr>
        </c:majorGridlines>
        <c:title>
          <c:tx>
            <c:rich>
              <a:bodyPr/>
              <a:lstStyle/>
              <a:p>
                <a:pPr>
                  <a:defRPr/>
                </a:pPr>
                <a:r>
                  <a:rPr lang="en-US" baseline="0"/>
                  <a:t>Installed Capacity (MW)</a:t>
                </a:r>
              </a:p>
            </c:rich>
          </c:tx>
          <c:overlay val="0"/>
        </c:title>
        <c:numFmt formatCode="0" sourceLinked="0"/>
        <c:majorTickMark val="out"/>
        <c:minorTickMark val="none"/>
        <c:tickLblPos val="nextTo"/>
        <c:crossAx val="58813056"/>
        <c:crosses val="autoZero"/>
        <c:auto val="1"/>
        <c:lblAlgn val="ctr"/>
        <c:lblOffset val="100"/>
        <c:noMultiLvlLbl val="0"/>
      </c:catAx>
      <c:valAx>
        <c:axId val="58813056"/>
        <c:scaling>
          <c:orientation val="minMax"/>
          <c:min val="0"/>
        </c:scaling>
        <c:delete val="0"/>
        <c:axPos val="l"/>
        <c:majorGridlines>
          <c:spPr>
            <a:ln>
              <a:solidFill>
                <a:schemeClr val="bg1">
                  <a:lumMod val="85000"/>
                </a:schemeClr>
              </a:solidFill>
            </a:ln>
          </c:spPr>
        </c:majorGridlines>
        <c:title>
          <c:tx>
            <c:rich>
              <a:bodyPr rot="-5400000" vert="horz"/>
              <a:lstStyle/>
              <a:p>
                <a:pPr>
                  <a:defRPr/>
                </a:pPr>
                <a:r>
                  <a:rPr lang="en-US"/>
                  <a:t>LCoE (cents/kWh)</a:t>
                </a:r>
              </a:p>
            </c:rich>
          </c:tx>
          <c:layout>
            <c:manualLayout>
              <c:xMode val="edge"/>
              <c:yMode val="edge"/>
              <c:x val="9.1848450057405284E-3"/>
              <c:y val="0.31372635021380851"/>
            </c:manualLayout>
          </c:layout>
          <c:overlay val="0"/>
        </c:title>
        <c:numFmt formatCode="0.0" sourceLinked="1"/>
        <c:majorTickMark val="out"/>
        <c:minorTickMark val="none"/>
        <c:tickLblPos val="nextTo"/>
        <c:crossAx val="58811136"/>
        <c:crosses val="autoZero"/>
        <c:crossBetween val="between"/>
      </c:valAx>
    </c:plotArea>
    <c:legend>
      <c:legendPos val="r"/>
      <c:overlay val="0"/>
    </c:legend>
    <c:plotVisOnly val="1"/>
    <c:dispBlanksAs val="gap"/>
    <c:showDLblsOverMax val="0"/>
  </c:chart>
  <c:spPr>
    <a:solidFill>
      <a:sysClr val="window" lastClr="FFFFFF"/>
    </a:solid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35475356927579"/>
          <c:y val="2.6045056939967181E-2"/>
          <c:w val="0.8125597470708491"/>
          <c:h val="0.86544280032480125"/>
        </c:manualLayout>
      </c:layout>
      <c:scatterChart>
        <c:scatterStyle val="smoothMarker"/>
        <c:varyColors val="0"/>
        <c:ser>
          <c:idx val="0"/>
          <c:order val="0"/>
          <c:tx>
            <c:v>P Fluid</c:v>
          </c:tx>
          <c:xVal>
            <c:numRef>
              <c:f>'Performance &amp; Economics'!$F$21:$F$51</c:f>
              <c:numCache>
                <c:formatCode>General</c:formatCode>
                <c:ptCount val="3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numCache>
            </c:numRef>
          </c:xVal>
          <c:yVal>
            <c:numRef>
              <c:f>'Performance &amp; Economics'!$I$21:$I$51</c:f>
              <c:numCache>
                <c:formatCode>#,##0</c:formatCode>
                <c:ptCount val="31"/>
                <c:pt idx="0">
                  <c:v>0</c:v>
                </c:pt>
                <c:pt idx="1">
                  <c:v>0</c:v>
                </c:pt>
                <c:pt idx="2">
                  <c:v>0</c:v>
                </c:pt>
                <c:pt idx="3">
                  <c:v>0</c:v>
                </c:pt>
                <c:pt idx="4">
                  <c:v>0</c:v>
                </c:pt>
                <c:pt idx="5">
                  <c:v>219.17026623457917</c:v>
                </c:pt>
                <c:pt idx="6">
                  <c:v>378.72622005335285</c:v>
                </c:pt>
                <c:pt idx="7">
                  <c:v>601.40321054768515</c:v>
                </c:pt>
                <c:pt idx="8">
                  <c:v>897.72141049683603</c:v>
                </c:pt>
                <c:pt idx="9">
                  <c:v>1278.2009926800654</c:v>
                </c:pt>
                <c:pt idx="10">
                  <c:v>1753.3621298766325</c:v>
                </c:pt>
                <c:pt idx="11">
                  <c:v>2333.7249948657982</c:v>
                </c:pt>
                <c:pt idx="12">
                  <c:v>3029.8097604268228</c:v>
                </c:pt>
                <c:pt idx="13">
                  <c:v>3852.136599338965</c:v>
                </c:pt>
                <c:pt idx="14">
                  <c:v>4811.225684381483</c:v>
                </c:pt>
                <c:pt idx="15">
                  <c:v>5917.5971883336415</c:v>
                </c:pt>
                <c:pt idx="16">
                  <c:v>7181.7712839746928</c:v>
                </c:pt>
                <c:pt idx="17">
                  <c:v>8614.268144083906</c:v>
                </c:pt>
                <c:pt idx="18">
                  <c:v>10225.607941440534</c:v>
                </c:pt>
                <c:pt idx="19">
                  <c:v>12026.310848823841</c:v>
                </c:pt>
                <c:pt idx="20">
                  <c:v>14026.897039013076</c:v>
                </c:pt>
                <c:pt idx="21">
                  <c:v>16237.886684787516</c:v>
                </c:pt>
                <c:pt idx="22">
                  <c:v>18669.799958926407</c:v>
                </c:pt>
                <c:pt idx="23">
                  <c:v>21333.15703420902</c:v>
                </c:pt>
                <c:pt idx="24">
                  <c:v>24238.478083414608</c:v>
                </c:pt>
                <c:pt idx="25">
                  <c:v>27396.28327932243</c:v>
                </c:pt>
                <c:pt idx="26">
                  <c:v>30817.092794711745</c:v>
                </c:pt>
                <c:pt idx="27">
                  <c:v>34511.426802361813</c:v>
                </c:pt>
                <c:pt idx="28">
                  <c:v>38489.805475051908</c:v>
                </c:pt>
                <c:pt idx="29">
                  <c:v>42762.748985561266</c:v>
                </c:pt>
                <c:pt idx="30">
                  <c:v>0</c:v>
                </c:pt>
              </c:numCache>
            </c:numRef>
          </c:yVal>
          <c:smooth val="1"/>
        </c:ser>
        <c:ser>
          <c:idx val="1"/>
          <c:order val="1"/>
          <c:tx>
            <c:v>P Rotor (Mechanical)</c:v>
          </c:tx>
          <c:marker>
            <c:symbol val="square"/>
            <c:size val="7"/>
          </c:marker>
          <c:xVal>
            <c:numRef>
              <c:f>'Performance &amp; Economics'!$F$21:$F$51</c:f>
              <c:numCache>
                <c:formatCode>General</c:formatCode>
                <c:ptCount val="3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numCache>
            </c:numRef>
          </c:xVal>
          <c:yVal>
            <c:numRef>
              <c:f>'Performance &amp; Economics'!$J$21:$J$51</c:f>
              <c:numCache>
                <c:formatCode>#,##0</c:formatCode>
                <c:ptCount val="31"/>
                <c:pt idx="0">
                  <c:v>0</c:v>
                </c:pt>
                <c:pt idx="1">
                  <c:v>0</c:v>
                </c:pt>
                <c:pt idx="2">
                  <c:v>0</c:v>
                </c:pt>
                <c:pt idx="3">
                  <c:v>0</c:v>
                </c:pt>
                <c:pt idx="4">
                  <c:v>0</c:v>
                </c:pt>
                <c:pt idx="5">
                  <c:v>105.93981040291543</c:v>
                </c:pt>
                <c:pt idx="6">
                  <c:v>183.24116315306236</c:v>
                </c:pt>
                <c:pt idx="7">
                  <c:v>291.26548185057794</c:v>
                </c:pt>
                <c:pt idx="8">
                  <c:v>435.11346997408856</c:v>
                </c:pt>
                <c:pt idx="9">
                  <c:v>619.93184267161871</c:v>
                </c:pt>
                <c:pt idx="10">
                  <c:v>850.77272158301184</c:v>
                </c:pt>
                <c:pt idx="11">
                  <c:v>1132.6358299484477</c:v>
                </c:pt>
                <c:pt idx="12">
                  <c:v>1470.5778908331561</c:v>
                </c:pt>
                <c:pt idx="13">
                  <c:v>1869.3327298122476</c:v>
                </c:pt>
                <c:pt idx="14">
                  <c:v>2333.8460066318635</c:v>
                </c:pt>
                <c:pt idx="15">
                  <c:v>2869.4754885010875</c:v>
                </c:pt>
                <c:pt idx="16">
                  <c:v>3481.327476870089</c:v>
                </c:pt>
                <c:pt idx="17">
                  <c:v>3997.8318139999601</c:v>
                </c:pt>
                <c:pt idx="18">
                  <c:v>3997.0988807582271</c:v>
                </c:pt>
                <c:pt idx="19">
                  <c:v>3994.0382405636747</c:v>
                </c:pt>
                <c:pt idx="20">
                  <c:v>4000.3573334991311</c:v>
                </c:pt>
                <c:pt idx="21">
                  <c:v>3969.4191932732174</c:v>
                </c:pt>
                <c:pt idx="22">
                  <c:v>4012.8319326295627</c:v>
                </c:pt>
                <c:pt idx="23">
                  <c:v>4007.430967564163</c:v>
                </c:pt>
                <c:pt idx="24">
                  <c:v>4044.4595273785808</c:v>
                </c:pt>
                <c:pt idx="25">
                  <c:v>4045.786351017794</c:v>
                </c:pt>
                <c:pt idx="26">
                  <c:v>4010.2510283903216</c:v>
                </c:pt>
                <c:pt idx="27">
                  <c:v>4051.1850239549622</c:v>
                </c:pt>
                <c:pt idx="28">
                  <c:v>3947.1751618860612</c:v>
                </c:pt>
                <c:pt idx="29">
                  <c:v>4058.7384852781311</c:v>
                </c:pt>
                <c:pt idx="30">
                  <c:v>0</c:v>
                </c:pt>
              </c:numCache>
            </c:numRef>
          </c:yVal>
          <c:smooth val="1"/>
        </c:ser>
        <c:ser>
          <c:idx val="2"/>
          <c:order val="2"/>
          <c:tx>
            <c:v>P Electrical</c:v>
          </c:tx>
          <c:xVal>
            <c:numRef>
              <c:f>'Performance &amp; Economics'!$F$21:$F$51</c:f>
              <c:numCache>
                <c:formatCode>General</c:formatCode>
                <c:ptCount val="3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numCache>
            </c:numRef>
          </c:xVal>
          <c:yVal>
            <c:numRef>
              <c:f>'Performance &amp; Economics'!$K$21:$K$51</c:f>
              <c:numCache>
                <c:formatCode>#,##0</c:formatCode>
                <c:ptCount val="31"/>
                <c:pt idx="0">
                  <c:v>0</c:v>
                </c:pt>
                <c:pt idx="1">
                  <c:v>0</c:v>
                </c:pt>
                <c:pt idx="2">
                  <c:v>0</c:v>
                </c:pt>
                <c:pt idx="3">
                  <c:v>0</c:v>
                </c:pt>
                <c:pt idx="4">
                  <c:v>0</c:v>
                </c:pt>
                <c:pt idx="5">
                  <c:v>99.668173627062828</c:v>
                </c:pt>
                <c:pt idx="6">
                  <c:v>172.39328629440107</c:v>
                </c:pt>
                <c:pt idx="7">
                  <c:v>274.02256532502372</c:v>
                </c:pt>
                <c:pt idx="8">
                  <c:v>409.35475255162248</c:v>
                </c:pt>
                <c:pt idx="9">
                  <c:v>583.23187758545885</c:v>
                </c:pt>
                <c:pt idx="10">
                  <c:v>800.40697646529748</c:v>
                </c:pt>
                <c:pt idx="11">
                  <c:v>1065.5837888154997</c:v>
                </c:pt>
                <c:pt idx="12">
                  <c:v>1383.519679695833</c:v>
                </c:pt>
                <c:pt idx="13">
                  <c:v>1758.6682322073625</c:v>
                </c:pt>
                <c:pt idx="14">
                  <c:v>2195.682323039257</c:v>
                </c:pt>
                <c:pt idx="15">
                  <c:v>2699.6025395818233</c:v>
                </c:pt>
                <c:pt idx="16">
                  <c:v>3275.2328902393797</c:v>
                </c:pt>
                <c:pt idx="17">
                  <c:v>3761.1601706111624</c:v>
                </c:pt>
                <c:pt idx="18">
                  <c:v>3760.4706270173397</c:v>
                </c:pt>
                <c:pt idx="19">
                  <c:v>3757.5911767223047</c:v>
                </c:pt>
                <c:pt idx="20">
                  <c:v>3763.5361793559823</c:v>
                </c:pt>
                <c:pt idx="21">
                  <c:v>3734.4295770314425</c:v>
                </c:pt>
                <c:pt idx="22">
                  <c:v>3775.2722822178921</c:v>
                </c:pt>
                <c:pt idx="23">
                  <c:v>3770.1910542843643</c:v>
                </c:pt>
                <c:pt idx="24">
                  <c:v>3805.0275233577686</c:v>
                </c:pt>
                <c:pt idx="25">
                  <c:v>3806.2757990375403</c:v>
                </c:pt>
                <c:pt idx="26">
                  <c:v>3772.8441675096142</c:v>
                </c:pt>
                <c:pt idx="27">
                  <c:v>3811.3548705368285</c:v>
                </c:pt>
                <c:pt idx="28">
                  <c:v>3713.5023923024064</c:v>
                </c:pt>
                <c:pt idx="29">
                  <c:v>3818.4611669496653</c:v>
                </c:pt>
                <c:pt idx="30">
                  <c:v>0</c:v>
                </c:pt>
              </c:numCache>
            </c:numRef>
          </c:yVal>
          <c:smooth val="1"/>
        </c:ser>
        <c:dLbls>
          <c:showLegendKey val="0"/>
          <c:showVal val="0"/>
          <c:showCatName val="0"/>
          <c:showSerName val="0"/>
          <c:showPercent val="0"/>
          <c:showBubbleSize val="0"/>
        </c:dLbls>
        <c:axId val="58836096"/>
        <c:axId val="58838016"/>
      </c:scatterChart>
      <c:valAx>
        <c:axId val="58836096"/>
        <c:scaling>
          <c:orientation val="minMax"/>
          <c:max val="2.5"/>
        </c:scaling>
        <c:delete val="0"/>
        <c:axPos val="b"/>
        <c:majorGridlines/>
        <c:title>
          <c:tx>
            <c:rich>
              <a:bodyPr/>
              <a:lstStyle/>
              <a:p>
                <a:pPr>
                  <a:defRPr/>
                </a:pPr>
                <a:r>
                  <a:rPr lang="en-US"/>
                  <a:t>Fluid Velocity (m/s)</a:t>
                </a:r>
              </a:p>
            </c:rich>
          </c:tx>
          <c:overlay val="0"/>
        </c:title>
        <c:numFmt formatCode="General" sourceLinked="1"/>
        <c:majorTickMark val="out"/>
        <c:minorTickMark val="none"/>
        <c:tickLblPos val="nextTo"/>
        <c:crossAx val="58838016"/>
        <c:crosses val="autoZero"/>
        <c:crossBetween val="midCat"/>
      </c:valAx>
      <c:valAx>
        <c:axId val="58838016"/>
        <c:scaling>
          <c:orientation val="minMax"/>
          <c:max val="5000"/>
          <c:min val="1"/>
        </c:scaling>
        <c:delete val="0"/>
        <c:axPos val="l"/>
        <c:majorGridlines/>
        <c:title>
          <c:tx>
            <c:rich>
              <a:bodyPr rot="-5400000" vert="horz"/>
              <a:lstStyle/>
              <a:p>
                <a:pPr>
                  <a:defRPr/>
                </a:pPr>
                <a:r>
                  <a:rPr lang="en-US"/>
                  <a:t>Power (kW)</a:t>
                </a:r>
              </a:p>
            </c:rich>
          </c:tx>
          <c:overlay val="0"/>
        </c:title>
        <c:numFmt formatCode="#,##0" sourceLinked="1"/>
        <c:majorTickMark val="out"/>
        <c:minorTickMark val="none"/>
        <c:tickLblPos val="nextTo"/>
        <c:crossAx val="58836096"/>
        <c:crosses val="autoZero"/>
        <c:crossBetween val="midCat"/>
      </c:valAx>
    </c:plotArea>
    <c:legend>
      <c:legendPos val="r"/>
      <c:layout>
        <c:manualLayout>
          <c:xMode val="edge"/>
          <c:yMode val="edge"/>
          <c:x val="0.7175563861028903"/>
          <c:y val="2.8188479307957558E-2"/>
          <c:w val="0.20315211871477473"/>
          <c:h val="0.12726043874769755"/>
        </c:manualLayout>
      </c:layout>
      <c:overlay val="0"/>
      <c:spPr>
        <a:solidFill>
          <a:schemeClr val="bg1"/>
        </a:solidFill>
      </c:spPr>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US"/>
              <a:t>Project Annual O&amp;M Cost</a:t>
            </a:r>
          </a:p>
        </c:rich>
      </c:tx>
      <c:overlay val="0"/>
      <c:spPr>
        <a:noFill/>
        <a:ln w="25400">
          <a:noFill/>
        </a:ln>
      </c:spPr>
    </c:title>
    <c:autoTitleDeleted val="0"/>
    <c:plotArea>
      <c:layout/>
      <c:lineChart>
        <c:grouping val="standard"/>
        <c:varyColors val="0"/>
        <c:ser>
          <c:idx val="1"/>
          <c:order val="0"/>
          <c:spPr>
            <a:ln w="12700">
              <a:solidFill>
                <a:srgbClr val="FF00FF"/>
              </a:solidFill>
              <a:prstDash val="solid"/>
            </a:ln>
          </c:spPr>
          <c:marker>
            <c:symbol val="x"/>
            <c:size val="8"/>
            <c:spPr>
              <a:solidFill>
                <a:srgbClr val="FFFFFF"/>
              </a:solidFill>
              <a:ln>
                <a:solidFill>
                  <a:srgbClr val="FF00FF"/>
                </a:solidFill>
                <a:prstDash val="solid"/>
              </a:ln>
            </c:spPr>
          </c:marker>
          <c:dLbls>
            <c:numFmt formatCode="\$#,##0" sourceLinked="0"/>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'Failure&amp;Cost Distribution'!#REF!</c:f>
              <c:numCache>
                <c:formatCode>General</c:formatCode>
                <c:ptCount val="1"/>
                <c:pt idx="0">
                  <c:v>1</c:v>
                </c:pt>
              </c:numCache>
            </c:numRef>
          </c:cat>
          <c:val>
            <c:numRef>
              <c:f>'Failure&amp;Cost Distribution'!#REF!</c:f>
              <c:numCache>
                <c:formatCode>General</c:formatCode>
                <c:ptCount val="1"/>
                <c:pt idx="0">
                  <c:v>1</c:v>
                </c:pt>
              </c:numCache>
            </c:numRef>
          </c:val>
          <c:smooth val="0"/>
        </c:ser>
        <c:dLbls>
          <c:showLegendKey val="0"/>
          <c:showVal val="0"/>
          <c:showCatName val="0"/>
          <c:showSerName val="0"/>
          <c:showPercent val="0"/>
          <c:showBubbleSize val="0"/>
        </c:dLbls>
        <c:marker val="1"/>
        <c:smooth val="0"/>
        <c:axId val="61031168"/>
        <c:axId val="61033088"/>
      </c:lineChart>
      <c:catAx>
        <c:axId val="61031168"/>
        <c:scaling>
          <c:orientation val="minMax"/>
        </c:scaling>
        <c:delete val="0"/>
        <c:axPos val="b"/>
        <c:majorGridlines>
          <c:spPr>
            <a:ln w="3175">
              <a:solidFill>
                <a:srgbClr val="000000"/>
              </a:solidFill>
              <a:prstDash val="sysDash"/>
            </a:ln>
          </c:spPr>
        </c:majorGridlines>
        <c:title>
          <c:tx>
            <c:rich>
              <a:bodyPr/>
              <a:lstStyle/>
              <a:p>
                <a:pPr>
                  <a:defRPr sz="150" b="1" i="0" u="none" strike="noStrike" baseline="0">
                    <a:solidFill>
                      <a:srgbClr val="000000"/>
                    </a:solidFill>
                    <a:latin typeface="Arial"/>
                    <a:ea typeface="Arial"/>
                    <a:cs typeface="Arial"/>
                  </a:defRPr>
                </a:pPr>
                <a:r>
                  <a:rPr lang="en-US"/>
                  <a:t>Year</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61033088"/>
        <c:crosses val="autoZero"/>
        <c:auto val="1"/>
        <c:lblAlgn val="ctr"/>
        <c:lblOffset val="100"/>
        <c:tickLblSkip val="1"/>
        <c:tickMarkSkip val="1"/>
        <c:noMultiLvlLbl val="0"/>
      </c:catAx>
      <c:valAx>
        <c:axId val="61033088"/>
        <c:scaling>
          <c:orientation val="minMax"/>
        </c:scaling>
        <c:delete val="0"/>
        <c:axPos val="l"/>
        <c:majorGridlines>
          <c:spPr>
            <a:ln w="3175">
              <a:solidFill>
                <a:srgbClr val="000000"/>
              </a:solidFill>
              <a:prstDash val="sysDash"/>
            </a:ln>
          </c:spPr>
        </c:majorGridlines>
        <c:title>
          <c:tx>
            <c:rich>
              <a:bodyPr/>
              <a:lstStyle/>
              <a:p>
                <a:pPr>
                  <a:defRPr sz="150" b="1" i="0" u="none" strike="noStrike" baseline="0">
                    <a:solidFill>
                      <a:srgbClr val="000000"/>
                    </a:solidFill>
                    <a:latin typeface="Arial"/>
                    <a:ea typeface="Arial"/>
                    <a:cs typeface="Arial"/>
                  </a:defRPr>
                </a:pPr>
                <a:r>
                  <a:rPr lang="en-US"/>
                  <a:t>Cost ($ x 1000)</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610311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US"/>
              <a:t>Project Annual O&amp;M Cost</a:t>
            </a:r>
          </a:p>
        </c:rich>
      </c:tx>
      <c:overlay val="0"/>
      <c:spPr>
        <a:noFill/>
        <a:ln w="25400">
          <a:noFill/>
        </a:ln>
      </c:spPr>
    </c:title>
    <c:autoTitleDeleted val="0"/>
    <c:plotArea>
      <c:layout/>
      <c:lineChart>
        <c:grouping val="standard"/>
        <c:varyColors val="0"/>
        <c:ser>
          <c:idx val="1"/>
          <c:order val="0"/>
          <c:spPr>
            <a:ln w="12700">
              <a:solidFill>
                <a:srgbClr val="FF00FF"/>
              </a:solidFill>
              <a:prstDash val="solid"/>
            </a:ln>
          </c:spPr>
          <c:marker>
            <c:symbol val="x"/>
            <c:size val="8"/>
            <c:spPr>
              <a:solidFill>
                <a:srgbClr val="FFFFFF"/>
              </a:solidFill>
              <a:ln>
                <a:solidFill>
                  <a:srgbClr val="FF00FF"/>
                </a:solidFill>
                <a:prstDash val="solid"/>
              </a:ln>
            </c:spPr>
          </c:marker>
          <c:dLbls>
            <c:numFmt formatCode="\$#,##0" sourceLinked="0"/>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'Failure&amp;Cost Distribution'!#REF!</c:f>
              <c:numCache>
                <c:formatCode>General</c:formatCode>
                <c:ptCount val="1"/>
                <c:pt idx="0">
                  <c:v>1</c:v>
                </c:pt>
              </c:numCache>
            </c:numRef>
          </c:cat>
          <c:val>
            <c:numRef>
              <c:f>'Failure&amp;Cost Distribution'!#REF!</c:f>
              <c:numCache>
                <c:formatCode>General</c:formatCode>
                <c:ptCount val="1"/>
                <c:pt idx="0">
                  <c:v>1</c:v>
                </c:pt>
              </c:numCache>
            </c:numRef>
          </c:val>
          <c:smooth val="0"/>
        </c:ser>
        <c:dLbls>
          <c:showLegendKey val="0"/>
          <c:showVal val="0"/>
          <c:showCatName val="0"/>
          <c:showSerName val="0"/>
          <c:showPercent val="0"/>
          <c:showBubbleSize val="0"/>
        </c:dLbls>
        <c:marker val="1"/>
        <c:smooth val="0"/>
        <c:axId val="61083008"/>
        <c:axId val="61093376"/>
      </c:lineChart>
      <c:catAx>
        <c:axId val="61083008"/>
        <c:scaling>
          <c:orientation val="minMax"/>
        </c:scaling>
        <c:delete val="0"/>
        <c:axPos val="b"/>
        <c:majorGridlines>
          <c:spPr>
            <a:ln w="3175">
              <a:solidFill>
                <a:srgbClr val="000000"/>
              </a:solidFill>
              <a:prstDash val="sysDash"/>
            </a:ln>
          </c:spPr>
        </c:majorGridlines>
        <c:title>
          <c:tx>
            <c:rich>
              <a:bodyPr/>
              <a:lstStyle/>
              <a:p>
                <a:pPr>
                  <a:defRPr sz="150" b="1" i="0" u="none" strike="noStrike" baseline="0">
                    <a:solidFill>
                      <a:srgbClr val="000000"/>
                    </a:solidFill>
                    <a:latin typeface="Arial"/>
                    <a:ea typeface="Arial"/>
                    <a:cs typeface="Arial"/>
                  </a:defRPr>
                </a:pPr>
                <a:r>
                  <a:rPr lang="en-US"/>
                  <a:t>Year</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61093376"/>
        <c:crosses val="autoZero"/>
        <c:auto val="1"/>
        <c:lblAlgn val="ctr"/>
        <c:lblOffset val="100"/>
        <c:tickLblSkip val="1"/>
        <c:tickMarkSkip val="1"/>
        <c:noMultiLvlLbl val="0"/>
      </c:catAx>
      <c:valAx>
        <c:axId val="61093376"/>
        <c:scaling>
          <c:orientation val="minMax"/>
        </c:scaling>
        <c:delete val="0"/>
        <c:axPos val="l"/>
        <c:majorGridlines>
          <c:spPr>
            <a:ln w="3175">
              <a:solidFill>
                <a:srgbClr val="000000"/>
              </a:solidFill>
              <a:prstDash val="sysDash"/>
            </a:ln>
          </c:spPr>
        </c:majorGridlines>
        <c:title>
          <c:tx>
            <c:rich>
              <a:bodyPr/>
              <a:lstStyle/>
              <a:p>
                <a:pPr>
                  <a:defRPr sz="150" b="1" i="0" u="none" strike="noStrike" baseline="0">
                    <a:solidFill>
                      <a:srgbClr val="000000"/>
                    </a:solidFill>
                    <a:latin typeface="Arial"/>
                    <a:ea typeface="Arial"/>
                    <a:cs typeface="Arial"/>
                  </a:defRPr>
                </a:pPr>
                <a:r>
                  <a:rPr lang="en-US"/>
                  <a:t>Cost ($ x 1000)</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610830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'Report Tables'!$A$7</c:f>
              <c:strCache>
                <c:ptCount val="1"/>
                <c:pt idx="0">
                  <c:v>Development</c:v>
                </c:pt>
              </c:strCache>
            </c:strRef>
          </c:tx>
          <c:invertIfNegative val="0"/>
          <c:cat>
            <c:numRef>
              <c:f>'Report Graphs'!$B$4:$E$4</c:f>
              <c:numCache>
                <c:formatCode>General</c:formatCode>
                <c:ptCount val="4"/>
                <c:pt idx="0">
                  <c:v>4</c:v>
                </c:pt>
                <c:pt idx="1">
                  <c:v>40</c:v>
                </c:pt>
                <c:pt idx="2">
                  <c:v>200</c:v>
                </c:pt>
                <c:pt idx="3">
                  <c:v>400</c:v>
                </c:pt>
              </c:numCache>
            </c:numRef>
          </c:cat>
          <c:val>
            <c:numRef>
              <c:f>'Report Tables'!$B$23:$E$23</c:f>
              <c:numCache>
                <c:formatCode>"$"#,##0</c:formatCode>
                <c:ptCount val="4"/>
                <c:pt idx="0">
                  <c:v>2700</c:v>
                </c:pt>
                <c:pt idx="1">
                  <c:v>560</c:v>
                </c:pt>
                <c:pt idx="2">
                  <c:v>210</c:v>
                </c:pt>
                <c:pt idx="3">
                  <c:v>120</c:v>
                </c:pt>
              </c:numCache>
            </c:numRef>
          </c:val>
        </c:ser>
        <c:ser>
          <c:idx val="1"/>
          <c:order val="1"/>
          <c:tx>
            <c:strRef>
              <c:f>'Report Tables'!$A$8</c:f>
              <c:strCache>
                <c:ptCount val="1"/>
                <c:pt idx="0">
                  <c:v>Infrastructure</c:v>
                </c:pt>
              </c:strCache>
            </c:strRef>
          </c:tx>
          <c:invertIfNegative val="0"/>
          <c:cat>
            <c:numRef>
              <c:f>'Report Graphs'!$B$4:$E$4</c:f>
              <c:numCache>
                <c:formatCode>General</c:formatCode>
                <c:ptCount val="4"/>
                <c:pt idx="0">
                  <c:v>4</c:v>
                </c:pt>
                <c:pt idx="1">
                  <c:v>40</c:v>
                </c:pt>
                <c:pt idx="2">
                  <c:v>200</c:v>
                </c:pt>
                <c:pt idx="3">
                  <c:v>400</c:v>
                </c:pt>
              </c:numCache>
            </c:numRef>
          </c:cat>
          <c:val>
            <c:numRef>
              <c:f>'Report Tables'!$B$24:$E$24</c:f>
              <c:numCache>
                <c:formatCode>"$"#,##0</c:formatCode>
                <c:ptCount val="4"/>
                <c:pt idx="0">
                  <c:v>8720</c:v>
                </c:pt>
                <c:pt idx="1">
                  <c:v>900</c:v>
                </c:pt>
                <c:pt idx="2">
                  <c:v>370</c:v>
                </c:pt>
                <c:pt idx="3">
                  <c:v>300</c:v>
                </c:pt>
              </c:numCache>
            </c:numRef>
          </c:val>
        </c:ser>
        <c:ser>
          <c:idx val="3"/>
          <c:order val="2"/>
          <c:tx>
            <c:strRef>
              <c:f>'Report Tables'!$A$9</c:f>
              <c:strCache>
                <c:ptCount val="1"/>
                <c:pt idx="0">
                  <c:v>Mooring/Foundation</c:v>
                </c:pt>
              </c:strCache>
            </c:strRef>
          </c:tx>
          <c:spPr>
            <a:solidFill>
              <a:srgbClr val="FFC000"/>
            </a:solidFill>
          </c:spPr>
          <c:invertIfNegative val="0"/>
          <c:cat>
            <c:numRef>
              <c:f>'Report Graphs'!$B$4:$E$4</c:f>
              <c:numCache>
                <c:formatCode>General</c:formatCode>
                <c:ptCount val="4"/>
                <c:pt idx="0">
                  <c:v>4</c:v>
                </c:pt>
                <c:pt idx="1">
                  <c:v>40</c:v>
                </c:pt>
                <c:pt idx="2">
                  <c:v>200</c:v>
                </c:pt>
                <c:pt idx="3">
                  <c:v>400</c:v>
                </c:pt>
              </c:numCache>
            </c:numRef>
          </c:cat>
          <c:val>
            <c:numRef>
              <c:f>'Report Tables'!$B$25:$E$25</c:f>
              <c:numCache>
                <c:formatCode>"$"#,##0</c:formatCode>
                <c:ptCount val="4"/>
                <c:pt idx="0">
                  <c:v>560</c:v>
                </c:pt>
                <c:pt idx="1">
                  <c:v>460</c:v>
                </c:pt>
                <c:pt idx="2">
                  <c:v>450</c:v>
                </c:pt>
                <c:pt idx="3">
                  <c:v>450</c:v>
                </c:pt>
              </c:numCache>
            </c:numRef>
          </c:val>
        </c:ser>
        <c:ser>
          <c:idx val="4"/>
          <c:order val="3"/>
          <c:tx>
            <c:strRef>
              <c:f>'Report Tables'!$A$10</c:f>
              <c:strCache>
                <c:ptCount val="1"/>
                <c:pt idx="0">
                  <c:v>Device Structural Components</c:v>
                </c:pt>
              </c:strCache>
            </c:strRef>
          </c:tx>
          <c:spPr>
            <a:solidFill>
              <a:srgbClr val="00B050"/>
            </a:solidFill>
          </c:spPr>
          <c:invertIfNegative val="0"/>
          <c:cat>
            <c:numRef>
              <c:f>'Report Graphs'!$B$4:$E$4</c:f>
              <c:numCache>
                <c:formatCode>General</c:formatCode>
                <c:ptCount val="4"/>
                <c:pt idx="0">
                  <c:v>4</c:v>
                </c:pt>
                <c:pt idx="1">
                  <c:v>40</c:v>
                </c:pt>
                <c:pt idx="2">
                  <c:v>200</c:v>
                </c:pt>
                <c:pt idx="3">
                  <c:v>400</c:v>
                </c:pt>
              </c:numCache>
            </c:numRef>
          </c:cat>
          <c:val>
            <c:numRef>
              <c:f>'Report Tables'!$B$26:$E$26</c:f>
              <c:numCache>
                <c:formatCode>"$"#,##0</c:formatCode>
                <c:ptCount val="4"/>
                <c:pt idx="0">
                  <c:v>2210</c:v>
                </c:pt>
                <c:pt idx="1">
                  <c:v>1460</c:v>
                </c:pt>
                <c:pt idx="2">
                  <c:v>1250</c:v>
                </c:pt>
                <c:pt idx="3">
                  <c:v>1190</c:v>
                </c:pt>
              </c:numCache>
            </c:numRef>
          </c:val>
        </c:ser>
        <c:ser>
          <c:idx val="5"/>
          <c:order val="4"/>
          <c:tx>
            <c:strRef>
              <c:f>'Report Tables'!$A$11</c:f>
              <c:strCache>
                <c:ptCount val="1"/>
                <c:pt idx="0">
                  <c:v>Power Take Off</c:v>
                </c:pt>
              </c:strCache>
            </c:strRef>
          </c:tx>
          <c:invertIfNegative val="0"/>
          <c:cat>
            <c:numRef>
              <c:f>'Report Graphs'!$B$4:$E$4</c:f>
              <c:numCache>
                <c:formatCode>General</c:formatCode>
                <c:ptCount val="4"/>
                <c:pt idx="0">
                  <c:v>4</c:v>
                </c:pt>
                <c:pt idx="1">
                  <c:v>40</c:v>
                </c:pt>
                <c:pt idx="2">
                  <c:v>200</c:v>
                </c:pt>
                <c:pt idx="3">
                  <c:v>400</c:v>
                </c:pt>
              </c:numCache>
            </c:numRef>
          </c:cat>
          <c:val>
            <c:numRef>
              <c:f>'Report Tables'!$B$27:$E$27</c:f>
              <c:numCache>
                <c:formatCode>"$"#,##0</c:formatCode>
                <c:ptCount val="4"/>
                <c:pt idx="0">
                  <c:v>5410</c:v>
                </c:pt>
                <c:pt idx="1">
                  <c:v>3760</c:v>
                </c:pt>
                <c:pt idx="2">
                  <c:v>3000</c:v>
                </c:pt>
                <c:pt idx="3">
                  <c:v>2750</c:v>
                </c:pt>
              </c:numCache>
            </c:numRef>
          </c:val>
        </c:ser>
        <c:ser>
          <c:idx val="2"/>
          <c:order val="5"/>
          <c:tx>
            <c:strRef>
              <c:f>'Report Tables'!$A$12</c:f>
              <c:strCache>
                <c:ptCount val="1"/>
                <c:pt idx="0">
                  <c:v>Subsystem Integration &amp; Profit Margin</c:v>
                </c:pt>
              </c:strCache>
            </c:strRef>
          </c:tx>
          <c:invertIfNegative val="0"/>
          <c:cat>
            <c:numRef>
              <c:f>'Report Graphs'!$B$4:$E$4</c:f>
              <c:numCache>
                <c:formatCode>General</c:formatCode>
                <c:ptCount val="4"/>
                <c:pt idx="0">
                  <c:v>4</c:v>
                </c:pt>
                <c:pt idx="1">
                  <c:v>40</c:v>
                </c:pt>
                <c:pt idx="2">
                  <c:v>200</c:v>
                </c:pt>
                <c:pt idx="3">
                  <c:v>400</c:v>
                </c:pt>
              </c:numCache>
            </c:numRef>
          </c:cat>
          <c:val>
            <c:numRef>
              <c:f>'Report Tables'!$B$28:$E$28</c:f>
              <c:numCache>
                <c:formatCode>"$"#,##0</c:formatCode>
                <c:ptCount val="4"/>
                <c:pt idx="0">
                  <c:v>760</c:v>
                </c:pt>
                <c:pt idx="1">
                  <c:v>520</c:v>
                </c:pt>
                <c:pt idx="2">
                  <c:v>430</c:v>
                </c:pt>
                <c:pt idx="3">
                  <c:v>390</c:v>
                </c:pt>
              </c:numCache>
            </c:numRef>
          </c:val>
        </c:ser>
        <c:ser>
          <c:idx val="6"/>
          <c:order val="6"/>
          <c:tx>
            <c:strRef>
              <c:f>'Report Tables'!$A$13</c:f>
              <c:strCache>
                <c:ptCount val="1"/>
                <c:pt idx="0">
                  <c:v>Installation</c:v>
                </c:pt>
              </c:strCache>
            </c:strRef>
          </c:tx>
          <c:invertIfNegative val="0"/>
          <c:cat>
            <c:numRef>
              <c:f>'Report Graphs'!$B$4:$E$4</c:f>
              <c:numCache>
                <c:formatCode>General</c:formatCode>
                <c:ptCount val="4"/>
                <c:pt idx="0">
                  <c:v>4</c:v>
                </c:pt>
                <c:pt idx="1">
                  <c:v>40</c:v>
                </c:pt>
                <c:pt idx="2">
                  <c:v>200</c:v>
                </c:pt>
                <c:pt idx="3">
                  <c:v>400</c:v>
                </c:pt>
              </c:numCache>
            </c:numRef>
          </c:cat>
          <c:val>
            <c:numRef>
              <c:f>'Report Tables'!$B$29:$E$29</c:f>
              <c:numCache>
                <c:formatCode>"$"#,##0</c:formatCode>
                <c:ptCount val="4"/>
                <c:pt idx="0">
                  <c:v>3200</c:v>
                </c:pt>
                <c:pt idx="1">
                  <c:v>830</c:v>
                </c:pt>
                <c:pt idx="2">
                  <c:v>480</c:v>
                </c:pt>
                <c:pt idx="3">
                  <c:v>470</c:v>
                </c:pt>
              </c:numCache>
            </c:numRef>
          </c:val>
        </c:ser>
        <c:ser>
          <c:idx val="7"/>
          <c:order val="7"/>
          <c:tx>
            <c:strRef>
              <c:f>'Report Tables'!$A$15</c:f>
              <c:strCache>
                <c:ptCount val="1"/>
                <c:pt idx="0">
                  <c:v>Contingency</c:v>
                </c:pt>
              </c:strCache>
            </c:strRef>
          </c:tx>
          <c:invertIfNegative val="0"/>
          <c:cat>
            <c:numRef>
              <c:f>'Report Graphs'!$B$4:$E$4</c:f>
              <c:numCache>
                <c:formatCode>General</c:formatCode>
                <c:ptCount val="4"/>
                <c:pt idx="0">
                  <c:v>4</c:v>
                </c:pt>
                <c:pt idx="1">
                  <c:v>40</c:v>
                </c:pt>
                <c:pt idx="2">
                  <c:v>200</c:v>
                </c:pt>
                <c:pt idx="3">
                  <c:v>400</c:v>
                </c:pt>
              </c:numCache>
            </c:numRef>
          </c:cat>
          <c:val>
            <c:numRef>
              <c:f>'Report Tables'!$B$31:$E$31</c:f>
              <c:numCache>
                <c:formatCode>"$"#,##0</c:formatCode>
                <c:ptCount val="4"/>
                <c:pt idx="0">
                  <c:v>2090</c:v>
                </c:pt>
                <c:pt idx="1">
                  <c:v>790</c:v>
                </c:pt>
                <c:pt idx="2">
                  <c:v>600</c:v>
                </c:pt>
                <c:pt idx="3">
                  <c:v>550</c:v>
                </c:pt>
              </c:numCache>
            </c:numRef>
          </c:val>
        </c:ser>
        <c:dLbls>
          <c:showLegendKey val="0"/>
          <c:showVal val="0"/>
          <c:showCatName val="0"/>
          <c:showSerName val="0"/>
          <c:showPercent val="0"/>
          <c:showBubbleSize val="0"/>
        </c:dLbls>
        <c:gapWidth val="150"/>
        <c:overlap val="100"/>
        <c:axId val="57190656"/>
        <c:axId val="57192832"/>
      </c:barChart>
      <c:catAx>
        <c:axId val="57190656"/>
        <c:scaling>
          <c:orientation val="minMax"/>
        </c:scaling>
        <c:delete val="0"/>
        <c:axPos val="b"/>
        <c:majorGridlines>
          <c:spPr>
            <a:ln>
              <a:solidFill>
                <a:schemeClr val="bg1">
                  <a:lumMod val="85000"/>
                </a:schemeClr>
              </a:solidFill>
            </a:ln>
          </c:spPr>
        </c:majorGridlines>
        <c:title>
          <c:tx>
            <c:rich>
              <a:bodyPr/>
              <a:lstStyle/>
              <a:p>
                <a:pPr>
                  <a:defRPr/>
                </a:pPr>
                <a:r>
                  <a:rPr lang="en-US" baseline="0"/>
                  <a:t>Installed Capacity (MW)</a:t>
                </a:r>
              </a:p>
            </c:rich>
          </c:tx>
          <c:overlay val="0"/>
        </c:title>
        <c:numFmt formatCode="0" sourceLinked="0"/>
        <c:majorTickMark val="out"/>
        <c:minorTickMark val="none"/>
        <c:tickLblPos val="nextTo"/>
        <c:crossAx val="57192832"/>
        <c:crosses val="autoZero"/>
        <c:auto val="1"/>
        <c:lblAlgn val="ctr"/>
        <c:lblOffset val="100"/>
        <c:noMultiLvlLbl val="0"/>
      </c:catAx>
      <c:valAx>
        <c:axId val="57192832"/>
        <c:scaling>
          <c:orientation val="minMax"/>
          <c:min val="0"/>
        </c:scaling>
        <c:delete val="0"/>
        <c:axPos val="l"/>
        <c:majorGridlines>
          <c:spPr>
            <a:ln>
              <a:solidFill>
                <a:schemeClr val="bg1">
                  <a:lumMod val="85000"/>
                </a:schemeClr>
              </a:solidFill>
            </a:ln>
          </c:spPr>
        </c:majorGridlines>
        <c:title>
          <c:tx>
            <c:rich>
              <a:bodyPr rot="-5400000" vert="horz"/>
              <a:lstStyle/>
              <a:p>
                <a:pPr>
                  <a:defRPr/>
                </a:pPr>
                <a:r>
                  <a:rPr lang="en-US"/>
                  <a:t>Capex ($/kW)</a:t>
                </a:r>
              </a:p>
            </c:rich>
          </c:tx>
          <c:overlay val="0"/>
        </c:title>
        <c:numFmt formatCode="&quot;$&quot;#,##0" sourceLinked="1"/>
        <c:majorTickMark val="out"/>
        <c:minorTickMark val="none"/>
        <c:tickLblPos val="nextTo"/>
        <c:crossAx val="57190656"/>
        <c:crosses val="autoZero"/>
        <c:crossBetween val="between"/>
      </c:valAx>
    </c:plotArea>
    <c:legend>
      <c:legendPos val="r"/>
      <c:overlay val="0"/>
    </c:legend>
    <c:plotVisOnly val="1"/>
    <c:dispBlanksAs val="gap"/>
    <c:showDLblsOverMax val="0"/>
  </c:chart>
  <c:spPr>
    <a:solidFill>
      <a:sysClr val="window" lastClr="FFFFFF"/>
    </a:soli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'Report Tables'!$A$7</c:f>
              <c:strCache>
                <c:ptCount val="1"/>
                <c:pt idx="0">
                  <c:v>Development</c:v>
                </c:pt>
              </c:strCache>
            </c:strRef>
          </c:tx>
          <c:invertIfNegative val="0"/>
          <c:cat>
            <c:numRef>
              <c:f>'Report Graphs'!$C$4:$E$4</c:f>
              <c:numCache>
                <c:formatCode>General</c:formatCode>
                <c:ptCount val="3"/>
                <c:pt idx="0">
                  <c:v>40</c:v>
                </c:pt>
                <c:pt idx="1">
                  <c:v>200</c:v>
                </c:pt>
                <c:pt idx="2">
                  <c:v>400</c:v>
                </c:pt>
              </c:numCache>
            </c:numRef>
          </c:cat>
          <c:val>
            <c:numRef>
              <c:f>('Report Tables'!$B$39,'Report Tables'!$D$39,'Report Tables'!$F$39)</c:f>
              <c:numCache>
                <c:formatCode>#,##0.0</c:formatCode>
                <c:ptCount val="3"/>
                <c:pt idx="0">
                  <c:v>1.0967768601188645</c:v>
                </c:pt>
                <c:pt idx="1">
                  <c:v>0.42052397151635146</c:v>
                </c:pt>
                <c:pt idx="2" formatCode="0.0">
                  <c:v>0.24107789004097216</c:v>
                </c:pt>
              </c:numCache>
            </c:numRef>
          </c:val>
        </c:ser>
        <c:ser>
          <c:idx val="1"/>
          <c:order val="1"/>
          <c:tx>
            <c:strRef>
              <c:f>'Report Tables'!$A$8</c:f>
              <c:strCache>
                <c:ptCount val="1"/>
                <c:pt idx="0">
                  <c:v>Infrastructure</c:v>
                </c:pt>
              </c:strCache>
            </c:strRef>
          </c:tx>
          <c:invertIfNegative val="0"/>
          <c:cat>
            <c:numRef>
              <c:f>'Report Graphs'!$C$4:$E$4</c:f>
              <c:numCache>
                <c:formatCode>General</c:formatCode>
                <c:ptCount val="3"/>
                <c:pt idx="0">
                  <c:v>40</c:v>
                </c:pt>
                <c:pt idx="1">
                  <c:v>200</c:v>
                </c:pt>
                <c:pt idx="2">
                  <c:v>400</c:v>
                </c:pt>
              </c:numCache>
            </c:numRef>
          </c:cat>
          <c:val>
            <c:numRef>
              <c:f>('Report Tables'!$B$40,'Report Tables'!$D$40,'Report Tables'!$F$40)</c:f>
              <c:numCache>
                <c:formatCode>#,##0.0</c:formatCode>
                <c:ptCount val="3"/>
                <c:pt idx="0">
                  <c:v>1.7789889455619612</c:v>
                </c:pt>
                <c:pt idx="1">
                  <c:v>0.73717002628069495</c:v>
                </c:pt>
                <c:pt idx="2" formatCode="0.0">
                  <c:v>0.58943535141426773</c:v>
                </c:pt>
              </c:numCache>
            </c:numRef>
          </c:val>
        </c:ser>
        <c:ser>
          <c:idx val="3"/>
          <c:order val="2"/>
          <c:tx>
            <c:strRef>
              <c:f>'Report Tables'!$A$9</c:f>
              <c:strCache>
                <c:ptCount val="1"/>
                <c:pt idx="0">
                  <c:v>Mooring/Foundation</c:v>
                </c:pt>
              </c:strCache>
            </c:strRef>
          </c:tx>
          <c:spPr>
            <a:solidFill>
              <a:srgbClr val="FFC000"/>
            </a:solidFill>
          </c:spPr>
          <c:invertIfNegative val="0"/>
          <c:cat>
            <c:numRef>
              <c:f>'Report Graphs'!$C$4:$E$4</c:f>
              <c:numCache>
                <c:formatCode>General</c:formatCode>
                <c:ptCount val="3"/>
                <c:pt idx="0">
                  <c:v>40</c:v>
                </c:pt>
                <c:pt idx="1">
                  <c:v>200</c:v>
                </c:pt>
                <c:pt idx="2">
                  <c:v>400</c:v>
                </c:pt>
              </c:numCache>
            </c:numRef>
          </c:cat>
          <c:val>
            <c:numRef>
              <c:f>('Report Tables'!$B$41,'Report Tables'!$D$41,'Report Tables'!$F$41)</c:f>
              <c:numCache>
                <c:formatCode>#,##0.0</c:formatCode>
                <c:ptCount val="3"/>
                <c:pt idx="0">
                  <c:v>0.90380651675761337</c:v>
                </c:pt>
                <c:pt idx="1">
                  <c:v>0.8855562348404229</c:v>
                </c:pt>
                <c:pt idx="2" formatCode="0.0">
                  <c:v>0.88371989283183316</c:v>
                </c:pt>
              </c:numCache>
            </c:numRef>
          </c:val>
        </c:ser>
        <c:ser>
          <c:idx val="4"/>
          <c:order val="3"/>
          <c:tx>
            <c:strRef>
              <c:f>'Report Tables'!$A$10</c:f>
              <c:strCache>
                <c:ptCount val="1"/>
                <c:pt idx="0">
                  <c:v>Device Structural Components</c:v>
                </c:pt>
              </c:strCache>
            </c:strRef>
          </c:tx>
          <c:spPr>
            <a:solidFill>
              <a:srgbClr val="00B050"/>
            </a:solidFill>
          </c:spPr>
          <c:invertIfNegative val="0"/>
          <c:cat>
            <c:numRef>
              <c:f>'Report Graphs'!$C$4:$E$4</c:f>
              <c:numCache>
                <c:formatCode>General</c:formatCode>
                <c:ptCount val="3"/>
                <c:pt idx="0">
                  <c:v>40</c:v>
                </c:pt>
                <c:pt idx="1">
                  <c:v>200</c:v>
                </c:pt>
                <c:pt idx="2">
                  <c:v>400</c:v>
                </c:pt>
              </c:numCache>
            </c:numRef>
          </c:cat>
          <c:val>
            <c:numRef>
              <c:f>('Report Tables'!$B$42,'Report Tables'!$D$42,'Report Tables'!$F$42)</c:f>
              <c:numCache>
                <c:formatCode>#,##0.0</c:formatCode>
                <c:ptCount val="3"/>
                <c:pt idx="0">
                  <c:v>2.8848351339908977</c:v>
                </c:pt>
                <c:pt idx="1">
                  <c:v>2.4570777551393941</c:v>
                </c:pt>
                <c:pt idx="2" formatCode="0.0">
                  <c:v>2.3428889601640619</c:v>
                </c:pt>
              </c:numCache>
            </c:numRef>
          </c:val>
        </c:ser>
        <c:ser>
          <c:idx val="5"/>
          <c:order val="4"/>
          <c:tx>
            <c:strRef>
              <c:f>'Report Tables'!$A$11</c:f>
              <c:strCache>
                <c:ptCount val="1"/>
                <c:pt idx="0">
                  <c:v>Power Take Off</c:v>
                </c:pt>
              </c:strCache>
            </c:strRef>
          </c:tx>
          <c:invertIfNegative val="0"/>
          <c:cat>
            <c:numRef>
              <c:f>'Report Graphs'!$C$4:$E$4</c:f>
              <c:numCache>
                <c:formatCode>General</c:formatCode>
                <c:ptCount val="3"/>
                <c:pt idx="0">
                  <c:v>40</c:v>
                </c:pt>
                <c:pt idx="1">
                  <c:v>200</c:v>
                </c:pt>
                <c:pt idx="2">
                  <c:v>400</c:v>
                </c:pt>
              </c:numCache>
            </c:numRef>
          </c:cat>
          <c:val>
            <c:numRef>
              <c:f>('Report Tables'!$B$43,'Report Tables'!$D$43,'Report Tables'!$F$43)</c:f>
              <c:numCache>
                <c:formatCode>#,##0.0</c:formatCode>
                <c:ptCount val="3"/>
                <c:pt idx="0">
                  <c:v>7.4062635285612632</c:v>
                </c:pt>
                <c:pt idx="1">
                  <c:v>5.917081218381167</c:v>
                </c:pt>
                <c:pt idx="2" formatCode="0.0">
                  <c:v>5.4104532799449458</c:v>
                </c:pt>
              </c:numCache>
            </c:numRef>
          </c:val>
        </c:ser>
        <c:ser>
          <c:idx val="2"/>
          <c:order val="5"/>
          <c:tx>
            <c:strRef>
              <c:f>'Report Tables'!$A$12</c:f>
              <c:strCache>
                <c:ptCount val="1"/>
                <c:pt idx="0">
                  <c:v>Subsystem Integration &amp; Profit Margin</c:v>
                </c:pt>
              </c:strCache>
            </c:strRef>
          </c:tx>
          <c:invertIfNegative val="0"/>
          <c:cat>
            <c:numRef>
              <c:f>'Report Graphs'!$C$4:$E$4</c:f>
              <c:numCache>
                <c:formatCode>General</c:formatCode>
                <c:ptCount val="3"/>
                <c:pt idx="0">
                  <c:v>40</c:v>
                </c:pt>
                <c:pt idx="1">
                  <c:v>200</c:v>
                </c:pt>
                <c:pt idx="2">
                  <c:v>400</c:v>
                </c:pt>
              </c:numCache>
            </c:numRef>
          </c:cat>
          <c:val>
            <c:numRef>
              <c:f>('Report Tables'!$B$44,'Report Tables'!$D$44,'Report Tables'!$F$44)</c:f>
              <c:numCache>
                <c:formatCode>#,##0.0</c:formatCode>
                <c:ptCount val="3"/>
                <c:pt idx="0">
                  <c:v>1.0291098662552161</c:v>
                </c:pt>
                <c:pt idx="1">
                  <c:v>0.83741589735205613</c:v>
                </c:pt>
                <c:pt idx="2" formatCode="0.0">
                  <c:v>0.77533422401090091</c:v>
                </c:pt>
              </c:numCache>
            </c:numRef>
          </c:val>
        </c:ser>
        <c:ser>
          <c:idx val="6"/>
          <c:order val="6"/>
          <c:tx>
            <c:strRef>
              <c:f>'Report Tables'!$A$13</c:f>
              <c:strCache>
                <c:ptCount val="1"/>
                <c:pt idx="0">
                  <c:v>Installation</c:v>
                </c:pt>
              </c:strCache>
            </c:strRef>
          </c:tx>
          <c:invertIfNegative val="0"/>
          <c:cat>
            <c:numRef>
              <c:f>'Report Graphs'!$C$4:$E$4</c:f>
              <c:numCache>
                <c:formatCode>General</c:formatCode>
                <c:ptCount val="3"/>
                <c:pt idx="0">
                  <c:v>40</c:v>
                </c:pt>
                <c:pt idx="1">
                  <c:v>200</c:v>
                </c:pt>
                <c:pt idx="2">
                  <c:v>400</c:v>
                </c:pt>
              </c:numCache>
            </c:numRef>
          </c:cat>
          <c:val>
            <c:numRef>
              <c:f>('Report Tables'!$B$45,'Report Tables'!$D$45,'Report Tables'!$F$45)</c:f>
              <c:numCache>
                <c:formatCode>#,##0.0</c:formatCode>
                <c:ptCount val="3"/>
                <c:pt idx="0">
                  <c:v>1.6263249918976466</c:v>
                </c:pt>
                <c:pt idx="1">
                  <c:v>0.94370679718550099</c:v>
                </c:pt>
                <c:pt idx="2" formatCode="0.0">
                  <c:v>0.91817531932147656</c:v>
                </c:pt>
              </c:numCache>
            </c:numRef>
          </c:val>
        </c:ser>
        <c:ser>
          <c:idx val="7"/>
          <c:order val="7"/>
          <c:tx>
            <c:strRef>
              <c:f>'Report Tables'!$A$15</c:f>
              <c:strCache>
                <c:ptCount val="1"/>
                <c:pt idx="0">
                  <c:v>Contingency</c:v>
                </c:pt>
              </c:strCache>
            </c:strRef>
          </c:tx>
          <c:invertIfNegative val="0"/>
          <c:cat>
            <c:numRef>
              <c:f>'Report Graphs'!$C$4:$E$4</c:f>
              <c:numCache>
                <c:formatCode>General</c:formatCode>
                <c:ptCount val="3"/>
                <c:pt idx="0">
                  <c:v>40</c:v>
                </c:pt>
                <c:pt idx="1">
                  <c:v>200</c:v>
                </c:pt>
                <c:pt idx="2">
                  <c:v>400</c:v>
                </c:pt>
              </c:numCache>
            </c:numRef>
          </c:cat>
          <c:val>
            <c:numRef>
              <c:f>('Report Tables'!$B$47,'Report Tables'!$D$47,'Report Tables'!$F$47)</c:f>
              <c:numCache>
                <c:formatCode>#,##0.0</c:formatCode>
                <c:ptCount val="3"/>
                <c:pt idx="0">
                  <c:v>1.5629328983024602</c:v>
                </c:pt>
                <c:pt idx="1">
                  <c:v>1.1778007929179235</c:v>
                </c:pt>
                <c:pt idx="2" formatCode="0.0">
                  <c:v>1.0920007027687486</c:v>
                </c:pt>
              </c:numCache>
            </c:numRef>
          </c:val>
        </c:ser>
        <c:dLbls>
          <c:showLegendKey val="0"/>
          <c:showVal val="0"/>
          <c:showCatName val="0"/>
          <c:showSerName val="0"/>
          <c:showPercent val="0"/>
          <c:showBubbleSize val="0"/>
        </c:dLbls>
        <c:gapWidth val="150"/>
        <c:overlap val="100"/>
        <c:axId val="57207040"/>
        <c:axId val="57872768"/>
      </c:barChart>
      <c:catAx>
        <c:axId val="57207040"/>
        <c:scaling>
          <c:orientation val="minMax"/>
        </c:scaling>
        <c:delete val="0"/>
        <c:axPos val="b"/>
        <c:majorGridlines>
          <c:spPr>
            <a:ln>
              <a:solidFill>
                <a:schemeClr val="bg1">
                  <a:lumMod val="85000"/>
                </a:schemeClr>
              </a:solidFill>
            </a:ln>
          </c:spPr>
        </c:majorGridlines>
        <c:title>
          <c:tx>
            <c:rich>
              <a:bodyPr/>
              <a:lstStyle/>
              <a:p>
                <a:pPr>
                  <a:defRPr/>
                </a:pPr>
                <a:r>
                  <a:rPr lang="en-US" baseline="0"/>
                  <a:t>Installed Capacity (MW)</a:t>
                </a:r>
              </a:p>
            </c:rich>
          </c:tx>
          <c:overlay val="0"/>
        </c:title>
        <c:numFmt formatCode="0" sourceLinked="0"/>
        <c:majorTickMark val="out"/>
        <c:minorTickMark val="none"/>
        <c:tickLblPos val="nextTo"/>
        <c:crossAx val="57872768"/>
        <c:crosses val="autoZero"/>
        <c:auto val="1"/>
        <c:lblAlgn val="ctr"/>
        <c:lblOffset val="100"/>
        <c:noMultiLvlLbl val="0"/>
      </c:catAx>
      <c:valAx>
        <c:axId val="57872768"/>
        <c:scaling>
          <c:orientation val="minMax"/>
          <c:min val="0"/>
        </c:scaling>
        <c:delete val="0"/>
        <c:axPos val="l"/>
        <c:majorGridlines>
          <c:spPr>
            <a:ln>
              <a:solidFill>
                <a:schemeClr val="bg1">
                  <a:lumMod val="85000"/>
                </a:schemeClr>
              </a:solidFill>
            </a:ln>
          </c:spPr>
        </c:majorGridlines>
        <c:title>
          <c:tx>
            <c:rich>
              <a:bodyPr rot="-5400000" vert="horz"/>
              <a:lstStyle/>
              <a:p>
                <a:pPr>
                  <a:defRPr/>
                </a:pPr>
                <a:r>
                  <a:rPr lang="en-US"/>
                  <a:t>LCoE (cents/kWh)</a:t>
                </a:r>
              </a:p>
            </c:rich>
          </c:tx>
          <c:layout>
            <c:manualLayout>
              <c:xMode val="edge"/>
              <c:yMode val="edge"/>
              <c:x val="1.6838882510524303E-2"/>
              <c:y val="0.32321127075469908"/>
            </c:manualLayout>
          </c:layout>
          <c:overlay val="0"/>
        </c:title>
        <c:numFmt formatCode="#,##0.0" sourceLinked="1"/>
        <c:majorTickMark val="out"/>
        <c:minorTickMark val="none"/>
        <c:tickLblPos val="nextTo"/>
        <c:crossAx val="57207040"/>
        <c:crosses val="autoZero"/>
        <c:crossBetween val="between"/>
      </c:valAx>
    </c:plotArea>
    <c:legend>
      <c:legendPos val="r"/>
      <c:overlay val="0"/>
    </c:legend>
    <c:plotVisOnly val="1"/>
    <c:dispBlanksAs val="gap"/>
    <c:showDLblsOverMax val="0"/>
  </c:chart>
  <c:spPr>
    <a:solidFill>
      <a:sysClr val="window" lastClr="FFFFFF"/>
    </a:soli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'Report Tables'!$A$55</c:f>
              <c:strCache>
                <c:ptCount val="1"/>
                <c:pt idx="0">
                  <c:v>Insurance</c:v>
                </c:pt>
              </c:strCache>
            </c:strRef>
          </c:tx>
          <c:invertIfNegative val="0"/>
          <c:cat>
            <c:numRef>
              <c:f>'Report Graphs'!$B$4:$E$4</c:f>
              <c:numCache>
                <c:formatCode>General</c:formatCode>
                <c:ptCount val="4"/>
                <c:pt idx="0">
                  <c:v>4</c:v>
                </c:pt>
                <c:pt idx="1">
                  <c:v>40</c:v>
                </c:pt>
                <c:pt idx="2">
                  <c:v>200</c:v>
                </c:pt>
                <c:pt idx="3">
                  <c:v>400</c:v>
                </c:pt>
              </c:numCache>
            </c:numRef>
          </c:cat>
          <c:val>
            <c:numRef>
              <c:f>'Report Tables'!$B$55:$E$55</c:f>
              <c:numCache>
                <c:formatCode>"$"#,##0</c:formatCode>
                <c:ptCount val="4"/>
                <c:pt idx="0">
                  <c:v>1700</c:v>
                </c:pt>
                <c:pt idx="1">
                  <c:v>6300</c:v>
                </c:pt>
                <c:pt idx="2">
                  <c:v>12000</c:v>
                </c:pt>
                <c:pt idx="3">
                  <c:v>11100</c:v>
                </c:pt>
              </c:numCache>
            </c:numRef>
          </c:val>
        </c:ser>
        <c:ser>
          <c:idx val="1"/>
          <c:order val="1"/>
          <c:tx>
            <c:strRef>
              <c:f>'Report Tables'!$A$56</c:f>
              <c:strCache>
                <c:ptCount val="1"/>
                <c:pt idx="0">
                  <c:v>Environmental Monitoring &amp; Regulatory Compliance</c:v>
                </c:pt>
              </c:strCache>
            </c:strRef>
          </c:tx>
          <c:invertIfNegative val="0"/>
          <c:cat>
            <c:numRef>
              <c:f>'Report Graphs'!$B$4:$E$4</c:f>
              <c:numCache>
                <c:formatCode>General</c:formatCode>
                <c:ptCount val="4"/>
                <c:pt idx="0">
                  <c:v>4</c:v>
                </c:pt>
                <c:pt idx="1">
                  <c:v>40</c:v>
                </c:pt>
                <c:pt idx="2">
                  <c:v>200</c:v>
                </c:pt>
                <c:pt idx="3">
                  <c:v>400</c:v>
                </c:pt>
              </c:numCache>
            </c:numRef>
          </c:cat>
          <c:val>
            <c:numRef>
              <c:f>'Report Tables'!$B$56:$E$56</c:f>
              <c:numCache>
                <c:formatCode>"$"#,##0</c:formatCode>
                <c:ptCount val="4"/>
                <c:pt idx="0">
                  <c:v>1500</c:v>
                </c:pt>
                <c:pt idx="1">
                  <c:v>2000</c:v>
                </c:pt>
                <c:pt idx="2">
                  <c:v>2000</c:v>
                </c:pt>
                <c:pt idx="3">
                  <c:v>2000</c:v>
                </c:pt>
              </c:numCache>
            </c:numRef>
          </c:val>
        </c:ser>
        <c:ser>
          <c:idx val="3"/>
          <c:order val="2"/>
          <c:tx>
            <c:strRef>
              <c:f>'Report Tables'!$A$57</c:f>
              <c:strCache>
                <c:ptCount val="1"/>
                <c:pt idx="0">
                  <c:v>Marine Operations</c:v>
                </c:pt>
              </c:strCache>
            </c:strRef>
          </c:tx>
          <c:spPr>
            <a:solidFill>
              <a:srgbClr val="FFC000"/>
            </a:solidFill>
          </c:spPr>
          <c:invertIfNegative val="0"/>
          <c:cat>
            <c:numRef>
              <c:f>'Report Graphs'!$B$4:$E$4</c:f>
              <c:numCache>
                <c:formatCode>General</c:formatCode>
                <c:ptCount val="4"/>
                <c:pt idx="0">
                  <c:v>4</c:v>
                </c:pt>
                <c:pt idx="1">
                  <c:v>40</c:v>
                </c:pt>
                <c:pt idx="2">
                  <c:v>200</c:v>
                </c:pt>
                <c:pt idx="3">
                  <c:v>400</c:v>
                </c:pt>
              </c:numCache>
            </c:numRef>
          </c:cat>
          <c:val>
            <c:numRef>
              <c:f>'Report Tables'!$B$57:$E$57</c:f>
              <c:numCache>
                <c:formatCode>"$"#,##0</c:formatCode>
                <c:ptCount val="4"/>
                <c:pt idx="0">
                  <c:v>100</c:v>
                </c:pt>
                <c:pt idx="1">
                  <c:v>1100</c:v>
                </c:pt>
                <c:pt idx="2">
                  <c:v>5700</c:v>
                </c:pt>
                <c:pt idx="3">
                  <c:v>11500</c:v>
                </c:pt>
              </c:numCache>
            </c:numRef>
          </c:val>
        </c:ser>
        <c:ser>
          <c:idx val="4"/>
          <c:order val="3"/>
          <c:tx>
            <c:strRef>
              <c:f>'Report Tables'!$A$58</c:f>
              <c:strCache>
                <c:ptCount val="1"/>
                <c:pt idx="0">
                  <c:v>Shoreside Operations</c:v>
                </c:pt>
              </c:strCache>
            </c:strRef>
          </c:tx>
          <c:spPr>
            <a:solidFill>
              <a:srgbClr val="00B050"/>
            </a:solidFill>
          </c:spPr>
          <c:invertIfNegative val="0"/>
          <c:cat>
            <c:numRef>
              <c:f>'Report Graphs'!$B$4:$E$4</c:f>
              <c:numCache>
                <c:formatCode>General</c:formatCode>
                <c:ptCount val="4"/>
                <c:pt idx="0">
                  <c:v>4</c:v>
                </c:pt>
                <c:pt idx="1">
                  <c:v>40</c:v>
                </c:pt>
                <c:pt idx="2">
                  <c:v>200</c:v>
                </c:pt>
                <c:pt idx="3">
                  <c:v>400</c:v>
                </c:pt>
              </c:numCache>
            </c:numRef>
          </c:cat>
          <c:val>
            <c:numRef>
              <c:f>'Report Tables'!$B$58:$E$58</c:f>
              <c:numCache>
                <c:formatCode>"$"#,##0</c:formatCode>
                <c:ptCount val="4"/>
                <c:pt idx="0">
                  <c:v>300</c:v>
                </c:pt>
                <c:pt idx="1">
                  <c:v>400</c:v>
                </c:pt>
                <c:pt idx="2">
                  <c:v>1000</c:v>
                </c:pt>
                <c:pt idx="3">
                  <c:v>1800</c:v>
                </c:pt>
              </c:numCache>
            </c:numRef>
          </c:val>
        </c:ser>
        <c:ser>
          <c:idx val="5"/>
          <c:order val="4"/>
          <c:tx>
            <c:strRef>
              <c:f>'Report Tables'!$A$59</c:f>
              <c:strCache>
                <c:ptCount val="1"/>
                <c:pt idx="0">
                  <c:v>Replacement Parts</c:v>
                </c:pt>
              </c:strCache>
            </c:strRef>
          </c:tx>
          <c:invertIfNegative val="0"/>
          <c:cat>
            <c:numRef>
              <c:f>'Report Graphs'!$B$4:$E$4</c:f>
              <c:numCache>
                <c:formatCode>General</c:formatCode>
                <c:ptCount val="4"/>
                <c:pt idx="0">
                  <c:v>4</c:v>
                </c:pt>
                <c:pt idx="1">
                  <c:v>40</c:v>
                </c:pt>
                <c:pt idx="2">
                  <c:v>200</c:v>
                </c:pt>
                <c:pt idx="3">
                  <c:v>400</c:v>
                </c:pt>
              </c:numCache>
            </c:numRef>
          </c:cat>
          <c:val>
            <c:numRef>
              <c:f>'Report Tables'!$B$59:$E$59</c:f>
              <c:numCache>
                <c:formatCode>"$"#,##0</c:formatCode>
                <c:ptCount val="4"/>
                <c:pt idx="0">
                  <c:v>700</c:v>
                </c:pt>
                <c:pt idx="1">
                  <c:v>4600</c:v>
                </c:pt>
                <c:pt idx="2">
                  <c:v>20600</c:v>
                </c:pt>
                <c:pt idx="3">
                  <c:v>40000</c:v>
                </c:pt>
              </c:numCache>
            </c:numRef>
          </c:val>
        </c:ser>
        <c:ser>
          <c:idx val="2"/>
          <c:order val="5"/>
          <c:tx>
            <c:strRef>
              <c:f>'Report Tables'!$A$60</c:f>
              <c:strCache>
                <c:ptCount val="1"/>
                <c:pt idx="0">
                  <c:v>Consumables</c:v>
                </c:pt>
              </c:strCache>
            </c:strRef>
          </c:tx>
          <c:invertIfNegative val="0"/>
          <c:cat>
            <c:numRef>
              <c:f>'Report Graphs'!$B$4:$E$4</c:f>
              <c:numCache>
                <c:formatCode>General</c:formatCode>
                <c:ptCount val="4"/>
                <c:pt idx="0">
                  <c:v>4</c:v>
                </c:pt>
                <c:pt idx="1">
                  <c:v>40</c:v>
                </c:pt>
                <c:pt idx="2">
                  <c:v>200</c:v>
                </c:pt>
                <c:pt idx="3">
                  <c:v>400</c:v>
                </c:pt>
              </c:numCache>
            </c:numRef>
          </c:cat>
          <c:val>
            <c:numRef>
              <c:f>'Report Tables'!$B$60:$E$60</c:f>
              <c:numCache>
                <c:formatCode>"$"#,##0</c:formatCode>
                <c:ptCount val="4"/>
                <c:pt idx="0">
                  <c:v>0</c:v>
                </c:pt>
                <c:pt idx="1">
                  <c:v>200</c:v>
                </c:pt>
                <c:pt idx="2">
                  <c:v>900</c:v>
                </c:pt>
                <c:pt idx="3">
                  <c:v>1700</c:v>
                </c:pt>
              </c:numCache>
            </c:numRef>
          </c:val>
        </c:ser>
        <c:dLbls>
          <c:showLegendKey val="0"/>
          <c:showVal val="0"/>
          <c:showCatName val="0"/>
          <c:showSerName val="0"/>
          <c:showPercent val="0"/>
          <c:showBubbleSize val="0"/>
        </c:dLbls>
        <c:gapWidth val="150"/>
        <c:overlap val="100"/>
        <c:axId val="57889152"/>
        <c:axId val="57891072"/>
      </c:barChart>
      <c:catAx>
        <c:axId val="57889152"/>
        <c:scaling>
          <c:orientation val="minMax"/>
        </c:scaling>
        <c:delete val="0"/>
        <c:axPos val="b"/>
        <c:majorGridlines>
          <c:spPr>
            <a:ln>
              <a:solidFill>
                <a:schemeClr val="bg1">
                  <a:lumMod val="85000"/>
                </a:schemeClr>
              </a:solidFill>
            </a:ln>
          </c:spPr>
        </c:majorGridlines>
        <c:title>
          <c:tx>
            <c:rich>
              <a:bodyPr/>
              <a:lstStyle/>
              <a:p>
                <a:pPr>
                  <a:defRPr/>
                </a:pPr>
                <a:r>
                  <a:rPr lang="en-US" baseline="0"/>
                  <a:t>Installed Capacity (MW)</a:t>
                </a:r>
              </a:p>
            </c:rich>
          </c:tx>
          <c:overlay val="0"/>
        </c:title>
        <c:numFmt formatCode="0" sourceLinked="0"/>
        <c:majorTickMark val="out"/>
        <c:minorTickMark val="none"/>
        <c:tickLblPos val="nextTo"/>
        <c:crossAx val="57891072"/>
        <c:crosses val="autoZero"/>
        <c:auto val="1"/>
        <c:lblAlgn val="ctr"/>
        <c:lblOffset val="100"/>
        <c:noMultiLvlLbl val="0"/>
      </c:catAx>
      <c:valAx>
        <c:axId val="57891072"/>
        <c:scaling>
          <c:orientation val="minMax"/>
          <c:min val="0"/>
        </c:scaling>
        <c:delete val="0"/>
        <c:axPos val="l"/>
        <c:majorGridlines>
          <c:spPr>
            <a:ln>
              <a:solidFill>
                <a:schemeClr val="bg1">
                  <a:lumMod val="85000"/>
                </a:schemeClr>
              </a:solidFill>
            </a:ln>
          </c:spPr>
        </c:majorGridlines>
        <c:title>
          <c:tx>
            <c:strRef>
              <c:f>'Report Tables'!$A$52</c:f>
              <c:strCache>
                <c:ptCount val="1"/>
                <c:pt idx="0">
                  <c:v>Annual Cost in Thousands ($)</c:v>
                </c:pt>
              </c:strCache>
            </c:strRef>
          </c:tx>
          <c:overlay val="0"/>
          <c:txPr>
            <a:bodyPr rot="-5400000" vert="horz"/>
            <a:lstStyle/>
            <a:p>
              <a:pPr>
                <a:defRPr/>
              </a:pPr>
              <a:endParaRPr lang="en-US"/>
            </a:p>
          </c:txPr>
        </c:title>
        <c:numFmt formatCode="&quot;$&quot;#,##0" sourceLinked="1"/>
        <c:majorTickMark val="out"/>
        <c:minorTickMark val="none"/>
        <c:tickLblPos val="nextTo"/>
        <c:crossAx val="57889152"/>
        <c:crosses val="autoZero"/>
        <c:crossBetween val="between"/>
      </c:valAx>
    </c:plotArea>
    <c:legend>
      <c:legendPos val="r"/>
      <c:overlay val="0"/>
    </c:legend>
    <c:plotVisOnly val="1"/>
    <c:dispBlanksAs val="gap"/>
    <c:showDLblsOverMax val="0"/>
  </c:chart>
  <c:spPr>
    <a:solidFill>
      <a:sysClr val="window" lastClr="FFFFFF"/>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'Report Tables'!$A$55</c:f>
              <c:strCache>
                <c:ptCount val="1"/>
                <c:pt idx="0">
                  <c:v>Insurance</c:v>
                </c:pt>
              </c:strCache>
            </c:strRef>
          </c:tx>
          <c:invertIfNegative val="0"/>
          <c:cat>
            <c:numRef>
              <c:f>'Report Graphs'!$B$4:$E$4</c:f>
              <c:numCache>
                <c:formatCode>General</c:formatCode>
                <c:ptCount val="4"/>
                <c:pt idx="0">
                  <c:v>4</c:v>
                </c:pt>
                <c:pt idx="1">
                  <c:v>40</c:v>
                </c:pt>
                <c:pt idx="2">
                  <c:v>200</c:v>
                </c:pt>
                <c:pt idx="3">
                  <c:v>400</c:v>
                </c:pt>
              </c:numCache>
            </c:numRef>
          </c:cat>
          <c:val>
            <c:numRef>
              <c:f>'Report Tables'!$B$68:$E$68</c:f>
              <c:numCache>
                <c:formatCode>"$"#,##0</c:formatCode>
                <c:ptCount val="4"/>
                <c:pt idx="0">
                  <c:v>420</c:v>
                </c:pt>
                <c:pt idx="1">
                  <c:v>160</c:v>
                </c:pt>
                <c:pt idx="2">
                  <c:v>60</c:v>
                </c:pt>
                <c:pt idx="3">
                  <c:v>30</c:v>
                </c:pt>
              </c:numCache>
            </c:numRef>
          </c:val>
        </c:ser>
        <c:ser>
          <c:idx val="1"/>
          <c:order val="1"/>
          <c:tx>
            <c:strRef>
              <c:f>'Report Tables'!$A$56</c:f>
              <c:strCache>
                <c:ptCount val="1"/>
                <c:pt idx="0">
                  <c:v>Environmental Monitoring &amp; Regulatory Compliance</c:v>
                </c:pt>
              </c:strCache>
            </c:strRef>
          </c:tx>
          <c:invertIfNegative val="0"/>
          <c:cat>
            <c:numRef>
              <c:f>'Report Graphs'!$B$4:$E$4</c:f>
              <c:numCache>
                <c:formatCode>General</c:formatCode>
                <c:ptCount val="4"/>
                <c:pt idx="0">
                  <c:v>4</c:v>
                </c:pt>
                <c:pt idx="1">
                  <c:v>40</c:v>
                </c:pt>
                <c:pt idx="2">
                  <c:v>200</c:v>
                </c:pt>
                <c:pt idx="3">
                  <c:v>400</c:v>
                </c:pt>
              </c:numCache>
            </c:numRef>
          </c:cat>
          <c:val>
            <c:numRef>
              <c:f>'Report Tables'!$B$69:$E$69</c:f>
              <c:numCache>
                <c:formatCode>"$"#,##0</c:formatCode>
                <c:ptCount val="4"/>
                <c:pt idx="0">
                  <c:v>370</c:v>
                </c:pt>
                <c:pt idx="1">
                  <c:v>50</c:v>
                </c:pt>
                <c:pt idx="2">
                  <c:v>10</c:v>
                </c:pt>
                <c:pt idx="3">
                  <c:v>10</c:v>
                </c:pt>
              </c:numCache>
            </c:numRef>
          </c:val>
        </c:ser>
        <c:ser>
          <c:idx val="3"/>
          <c:order val="2"/>
          <c:tx>
            <c:strRef>
              <c:f>'Report Tables'!$A$57</c:f>
              <c:strCache>
                <c:ptCount val="1"/>
                <c:pt idx="0">
                  <c:v>Marine Operations</c:v>
                </c:pt>
              </c:strCache>
            </c:strRef>
          </c:tx>
          <c:spPr>
            <a:solidFill>
              <a:srgbClr val="FFC000"/>
            </a:solidFill>
          </c:spPr>
          <c:invertIfNegative val="0"/>
          <c:cat>
            <c:numRef>
              <c:f>'Report Graphs'!$B$4:$E$4</c:f>
              <c:numCache>
                <c:formatCode>General</c:formatCode>
                <c:ptCount val="4"/>
                <c:pt idx="0">
                  <c:v>4</c:v>
                </c:pt>
                <c:pt idx="1">
                  <c:v>40</c:v>
                </c:pt>
                <c:pt idx="2">
                  <c:v>200</c:v>
                </c:pt>
                <c:pt idx="3">
                  <c:v>400</c:v>
                </c:pt>
              </c:numCache>
            </c:numRef>
          </c:cat>
          <c:val>
            <c:numRef>
              <c:f>'Report Tables'!$B$70:$E$70</c:f>
              <c:numCache>
                <c:formatCode>"$"#,##0</c:formatCode>
                <c:ptCount val="4"/>
                <c:pt idx="0">
                  <c:v>30</c:v>
                </c:pt>
                <c:pt idx="1">
                  <c:v>30</c:v>
                </c:pt>
                <c:pt idx="2">
                  <c:v>30</c:v>
                </c:pt>
                <c:pt idx="3">
                  <c:v>30</c:v>
                </c:pt>
              </c:numCache>
            </c:numRef>
          </c:val>
        </c:ser>
        <c:ser>
          <c:idx val="4"/>
          <c:order val="3"/>
          <c:tx>
            <c:strRef>
              <c:f>'Report Tables'!$A$58</c:f>
              <c:strCache>
                <c:ptCount val="1"/>
                <c:pt idx="0">
                  <c:v>Shoreside Operations</c:v>
                </c:pt>
              </c:strCache>
            </c:strRef>
          </c:tx>
          <c:spPr>
            <a:solidFill>
              <a:srgbClr val="00B050"/>
            </a:solidFill>
          </c:spPr>
          <c:invertIfNegative val="0"/>
          <c:cat>
            <c:numRef>
              <c:f>'Report Graphs'!$B$4:$E$4</c:f>
              <c:numCache>
                <c:formatCode>General</c:formatCode>
                <c:ptCount val="4"/>
                <c:pt idx="0">
                  <c:v>4</c:v>
                </c:pt>
                <c:pt idx="1">
                  <c:v>40</c:v>
                </c:pt>
                <c:pt idx="2">
                  <c:v>200</c:v>
                </c:pt>
                <c:pt idx="3">
                  <c:v>400</c:v>
                </c:pt>
              </c:numCache>
            </c:numRef>
          </c:cat>
          <c:val>
            <c:numRef>
              <c:f>'Report Tables'!$B$71:$E$71</c:f>
              <c:numCache>
                <c:formatCode>"$"#,##0</c:formatCode>
                <c:ptCount val="4"/>
                <c:pt idx="0">
                  <c:v>80</c:v>
                </c:pt>
                <c:pt idx="1">
                  <c:v>10</c:v>
                </c:pt>
                <c:pt idx="2">
                  <c:v>10</c:v>
                </c:pt>
                <c:pt idx="3">
                  <c:v>0</c:v>
                </c:pt>
              </c:numCache>
            </c:numRef>
          </c:val>
        </c:ser>
        <c:ser>
          <c:idx val="5"/>
          <c:order val="4"/>
          <c:tx>
            <c:strRef>
              <c:f>'Report Tables'!$A$59</c:f>
              <c:strCache>
                <c:ptCount val="1"/>
                <c:pt idx="0">
                  <c:v>Replacement Parts</c:v>
                </c:pt>
              </c:strCache>
            </c:strRef>
          </c:tx>
          <c:invertIfNegative val="0"/>
          <c:cat>
            <c:numRef>
              <c:f>'Report Graphs'!$B$4:$E$4</c:f>
              <c:numCache>
                <c:formatCode>General</c:formatCode>
                <c:ptCount val="4"/>
                <c:pt idx="0">
                  <c:v>4</c:v>
                </c:pt>
                <c:pt idx="1">
                  <c:v>40</c:v>
                </c:pt>
                <c:pt idx="2">
                  <c:v>200</c:v>
                </c:pt>
                <c:pt idx="3">
                  <c:v>400</c:v>
                </c:pt>
              </c:numCache>
            </c:numRef>
          </c:cat>
          <c:val>
            <c:numRef>
              <c:f>'Report Tables'!$B$72:$E$72</c:f>
              <c:numCache>
                <c:formatCode>"$"#,##0</c:formatCode>
                <c:ptCount val="4"/>
                <c:pt idx="0">
                  <c:v>180</c:v>
                </c:pt>
                <c:pt idx="1">
                  <c:v>110</c:v>
                </c:pt>
                <c:pt idx="2">
                  <c:v>100</c:v>
                </c:pt>
                <c:pt idx="3">
                  <c:v>100</c:v>
                </c:pt>
              </c:numCache>
            </c:numRef>
          </c:val>
        </c:ser>
        <c:ser>
          <c:idx val="2"/>
          <c:order val="5"/>
          <c:tx>
            <c:strRef>
              <c:f>'Report Tables'!$A$60</c:f>
              <c:strCache>
                <c:ptCount val="1"/>
                <c:pt idx="0">
                  <c:v>Consumables</c:v>
                </c:pt>
              </c:strCache>
            </c:strRef>
          </c:tx>
          <c:invertIfNegative val="0"/>
          <c:cat>
            <c:numRef>
              <c:f>'Report Graphs'!$B$4:$E$4</c:f>
              <c:numCache>
                <c:formatCode>General</c:formatCode>
                <c:ptCount val="4"/>
                <c:pt idx="0">
                  <c:v>4</c:v>
                </c:pt>
                <c:pt idx="1">
                  <c:v>40</c:v>
                </c:pt>
                <c:pt idx="2">
                  <c:v>200</c:v>
                </c:pt>
                <c:pt idx="3">
                  <c:v>400</c:v>
                </c:pt>
              </c:numCache>
            </c:numRef>
          </c:cat>
          <c:val>
            <c:numRef>
              <c:f>'Report Tables'!$B$73:$E$73</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57911168"/>
        <c:axId val="57929728"/>
      </c:barChart>
      <c:catAx>
        <c:axId val="57911168"/>
        <c:scaling>
          <c:orientation val="minMax"/>
        </c:scaling>
        <c:delete val="0"/>
        <c:axPos val="b"/>
        <c:majorGridlines>
          <c:spPr>
            <a:ln>
              <a:solidFill>
                <a:schemeClr val="bg1">
                  <a:lumMod val="85000"/>
                </a:schemeClr>
              </a:solidFill>
            </a:ln>
          </c:spPr>
        </c:majorGridlines>
        <c:title>
          <c:tx>
            <c:rich>
              <a:bodyPr/>
              <a:lstStyle/>
              <a:p>
                <a:pPr>
                  <a:defRPr/>
                </a:pPr>
                <a:r>
                  <a:rPr lang="en-US" baseline="0"/>
                  <a:t>Installed Capacity (MW)</a:t>
                </a:r>
              </a:p>
            </c:rich>
          </c:tx>
          <c:overlay val="0"/>
        </c:title>
        <c:numFmt formatCode="0" sourceLinked="0"/>
        <c:majorTickMark val="out"/>
        <c:minorTickMark val="none"/>
        <c:tickLblPos val="nextTo"/>
        <c:crossAx val="57929728"/>
        <c:crosses val="autoZero"/>
        <c:auto val="1"/>
        <c:lblAlgn val="ctr"/>
        <c:lblOffset val="100"/>
        <c:noMultiLvlLbl val="0"/>
      </c:catAx>
      <c:valAx>
        <c:axId val="57929728"/>
        <c:scaling>
          <c:orientation val="minMax"/>
          <c:min val="0"/>
        </c:scaling>
        <c:delete val="0"/>
        <c:axPos val="l"/>
        <c:majorGridlines>
          <c:spPr>
            <a:ln>
              <a:solidFill>
                <a:schemeClr val="bg1">
                  <a:lumMod val="85000"/>
                </a:schemeClr>
              </a:solidFill>
            </a:ln>
          </c:spPr>
        </c:majorGridlines>
        <c:title>
          <c:tx>
            <c:rich>
              <a:bodyPr rot="-5400000" vert="horz"/>
              <a:lstStyle/>
              <a:p>
                <a:pPr>
                  <a:defRPr/>
                </a:pPr>
                <a:r>
                  <a:rPr lang="en-US"/>
                  <a:t>Opex ($ / kW-yr)</a:t>
                </a:r>
              </a:p>
            </c:rich>
          </c:tx>
          <c:layout>
            <c:manualLayout>
              <c:xMode val="edge"/>
              <c:yMode val="edge"/>
              <c:x val="9.1848450057405284E-3"/>
              <c:y val="0.31372635021380851"/>
            </c:manualLayout>
          </c:layout>
          <c:overlay val="0"/>
        </c:title>
        <c:numFmt formatCode="&quot;$&quot;#,##0" sourceLinked="1"/>
        <c:majorTickMark val="out"/>
        <c:minorTickMark val="none"/>
        <c:tickLblPos val="nextTo"/>
        <c:crossAx val="57911168"/>
        <c:crosses val="autoZero"/>
        <c:crossBetween val="between"/>
      </c:valAx>
    </c:plotArea>
    <c:legend>
      <c:legendPos val="r"/>
      <c:overlay val="0"/>
    </c:legend>
    <c:plotVisOnly val="1"/>
    <c:dispBlanksAs val="gap"/>
    <c:showDLblsOverMax val="0"/>
  </c:chart>
  <c:spPr>
    <a:solidFill>
      <a:sysClr val="window" lastClr="FFFFFF"/>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'Report Tables'!$A$55</c:f>
              <c:strCache>
                <c:ptCount val="1"/>
                <c:pt idx="0">
                  <c:v>Insurance</c:v>
                </c:pt>
              </c:strCache>
            </c:strRef>
          </c:tx>
          <c:invertIfNegative val="0"/>
          <c:cat>
            <c:numRef>
              <c:f>'Report Graphs'!$C$4:$E$4</c:f>
              <c:numCache>
                <c:formatCode>General</c:formatCode>
                <c:ptCount val="3"/>
                <c:pt idx="0">
                  <c:v>40</c:v>
                </c:pt>
                <c:pt idx="1">
                  <c:v>200</c:v>
                </c:pt>
                <c:pt idx="2">
                  <c:v>400</c:v>
                </c:pt>
              </c:numCache>
            </c:numRef>
          </c:cat>
          <c:val>
            <c:numRef>
              <c:f>('Report Tables'!$B$82,'Report Tables'!$D$82,'Report Tables'!$F$82)</c:f>
              <c:numCache>
                <c:formatCode>0.0</c:formatCode>
                <c:ptCount val="3"/>
                <c:pt idx="0">
                  <c:v>2.7766509392134653</c:v>
                </c:pt>
                <c:pt idx="1">
                  <c:v>1.0462194766691248</c:v>
                </c:pt>
                <c:pt idx="2">
                  <c:v>0.48500239201853351</c:v>
                </c:pt>
              </c:numCache>
            </c:numRef>
          </c:val>
        </c:ser>
        <c:ser>
          <c:idx val="1"/>
          <c:order val="1"/>
          <c:tx>
            <c:strRef>
              <c:f>'Report Tables'!$A$56</c:f>
              <c:strCache>
                <c:ptCount val="1"/>
                <c:pt idx="0">
                  <c:v>Environmental Monitoring &amp; Regulatory Compliance</c:v>
                </c:pt>
              </c:strCache>
            </c:strRef>
          </c:tx>
          <c:invertIfNegative val="0"/>
          <c:cat>
            <c:numRef>
              <c:f>'Report Graphs'!$C$4:$E$4</c:f>
              <c:numCache>
                <c:formatCode>General</c:formatCode>
                <c:ptCount val="3"/>
                <c:pt idx="0">
                  <c:v>40</c:v>
                </c:pt>
                <c:pt idx="1">
                  <c:v>200</c:v>
                </c:pt>
                <c:pt idx="2">
                  <c:v>400</c:v>
                </c:pt>
              </c:numCache>
            </c:numRef>
          </c:cat>
          <c:val>
            <c:numRef>
              <c:f>('Report Tables'!$B$83,'Report Tables'!$D$83,'Report Tables'!$F$83)</c:f>
              <c:numCache>
                <c:formatCode>0.0</c:formatCode>
                <c:ptCount val="3"/>
                <c:pt idx="0">
                  <c:v>0.86301276030537166</c:v>
                </c:pt>
                <c:pt idx="1">
                  <c:v>0.17813608717074181</c:v>
                </c:pt>
                <c:pt idx="2">
                  <c:v>8.9068043585370904E-2</c:v>
                </c:pt>
              </c:numCache>
            </c:numRef>
          </c:val>
        </c:ser>
        <c:ser>
          <c:idx val="3"/>
          <c:order val="2"/>
          <c:tx>
            <c:strRef>
              <c:f>'Report Tables'!$A$57</c:f>
              <c:strCache>
                <c:ptCount val="1"/>
                <c:pt idx="0">
                  <c:v>Marine Operations</c:v>
                </c:pt>
              </c:strCache>
            </c:strRef>
          </c:tx>
          <c:spPr>
            <a:solidFill>
              <a:srgbClr val="FFC000"/>
            </a:solidFill>
          </c:spPr>
          <c:invertIfNegative val="0"/>
          <c:cat>
            <c:numRef>
              <c:f>'Report Graphs'!$C$4:$E$4</c:f>
              <c:numCache>
                <c:formatCode>General</c:formatCode>
                <c:ptCount val="3"/>
                <c:pt idx="0">
                  <c:v>40</c:v>
                </c:pt>
                <c:pt idx="1">
                  <c:v>200</c:v>
                </c:pt>
                <c:pt idx="2">
                  <c:v>400</c:v>
                </c:pt>
              </c:numCache>
            </c:numRef>
          </c:cat>
          <c:val>
            <c:numRef>
              <c:f>('Report Tables'!$B$84,'Report Tables'!$D$84,'Report Tables'!$F$84)</c:f>
              <c:numCache>
                <c:formatCode>0.0</c:formatCode>
                <c:ptCount val="3"/>
                <c:pt idx="0">
                  <c:v>0.50302852438755319</c:v>
                </c:pt>
                <c:pt idx="1">
                  <c:v>0.50302852438755319</c:v>
                </c:pt>
                <c:pt idx="2">
                  <c:v>0.50302852438755319</c:v>
                </c:pt>
              </c:numCache>
            </c:numRef>
          </c:val>
        </c:ser>
        <c:ser>
          <c:idx val="4"/>
          <c:order val="3"/>
          <c:tx>
            <c:strRef>
              <c:f>'Report Tables'!$A$58</c:f>
              <c:strCache>
                <c:ptCount val="1"/>
                <c:pt idx="0">
                  <c:v>Shoreside Operations</c:v>
                </c:pt>
              </c:strCache>
            </c:strRef>
          </c:tx>
          <c:spPr>
            <a:solidFill>
              <a:srgbClr val="00B050"/>
            </a:solidFill>
          </c:spPr>
          <c:invertIfNegative val="0"/>
          <c:cat>
            <c:numRef>
              <c:f>'Report Graphs'!$C$4:$E$4</c:f>
              <c:numCache>
                <c:formatCode>General</c:formatCode>
                <c:ptCount val="3"/>
                <c:pt idx="0">
                  <c:v>40</c:v>
                </c:pt>
                <c:pt idx="1">
                  <c:v>200</c:v>
                </c:pt>
                <c:pt idx="2">
                  <c:v>400</c:v>
                </c:pt>
              </c:numCache>
            </c:numRef>
          </c:cat>
          <c:val>
            <c:numRef>
              <c:f>('Report Tables'!$B$85,'Report Tables'!$D$85,'Report Tables'!$F$85)</c:f>
              <c:numCache>
                <c:formatCode>0.0</c:formatCode>
                <c:ptCount val="3"/>
                <c:pt idx="0">
                  <c:v>0.16324216404831463</c:v>
                </c:pt>
                <c:pt idx="1">
                  <c:v>8.779468048380959E-2</c:v>
                </c:pt>
                <c:pt idx="2">
                  <c:v>7.7588752996116478E-2</c:v>
                </c:pt>
              </c:numCache>
            </c:numRef>
          </c:val>
        </c:ser>
        <c:ser>
          <c:idx val="5"/>
          <c:order val="4"/>
          <c:tx>
            <c:strRef>
              <c:f>'Report Tables'!$A$59</c:f>
              <c:strCache>
                <c:ptCount val="1"/>
                <c:pt idx="0">
                  <c:v>Replacement Parts</c:v>
                </c:pt>
              </c:strCache>
            </c:strRef>
          </c:tx>
          <c:invertIfNegative val="0"/>
          <c:cat>
            <c:numRef>
              <c:f>'Report Graphs'!$C$4:$E$4</c:f>
              <c:numCache>
                <c:formatCode>General</c:formatCode>
                <c:ptCount val="3"/>
                <c:pt idx="0">
                  <c:v>40</c:v>
                </c:pt>
                <c:pt idx="1">
                  <c:v>200</c:v>
                </c:pt>
                <c:pt idx="2">
                  <c:v>400</c:v>
                </c:pt>
              </c:numCache>
            </c:numRef>
          </c:cat>
          <c:val>
            <c:numRef>
              <c:f>('Report Tables'!$B$86,'Report Tables'!$D$86,'Report Tables'!$F$86)</c:f>
              <c:numCache>
                <c:formatCode>0.0</c:formatCode>
                <c:ptCount val="3"/>
                <c:pt idx="0">
                  <c:v>2.0044641690342075</c:v>
                </c:pt>
                <c:pt idx="1">
                  <c:v>1.8002502382133159</c:v>
                </c:pt>
                <c:pt idx="2">
                  <c:v>1.7494918486506985</c:v>
                </c:pt>
              </c:numCache>
            </c:numRef>
          </c:val>
        </c:ser>
        <c:ser>
          <c:idx val="2"/>
          <c:order val="5"/>
          <c:tx>
            <c:strRef>
              <c:f>'Report Tables'!$A$60</c:f>
              <c:strCache>
                <c:ptCount val="1"/>
                <c:pt idx="0">
                  <c:v>Consumables</c:v>
                </c:pt>
              </c:strCache>
            </c:strRef>
          </c:tx>
          <c:invertIfNegative val="0"/>
          <c:cat>
            <c:numRef>
              <c:f>'Report Graphs'!$C$4:$E$4</c:f>
              <c:numCache>
                <c:formatCode>General</c:formatCode>
                <c:ptCount val="3"/>
                <c:pt idx="0">
                  <c:v>40</c:v>
                </c:pt>
                <c:pt idx="1">
                  <c:v>200</c:v>
                </c:pt>
                <c:pt idx="2">
                  <c:v>400</c:v>
                </c:pt>
              </c:numCache>
            </c:numRef>
          </c:cat>
          <c:val>
            <c:numRef>
              <c:f>('Report Tables'!$B$87,'Report Tables'!$D$87,'Report Tables'!$F$87)</c:f>
              <c:numCache>
                <c:formatCode>0.0</c:formatCode>
                <c:ptCount val="3"/>
                <c:pt idx="0">
                  <c:v>7.652291437526712E-2</c:v>
                </c:pt>
                <c:pt idx="1">
                  <c:v>7.6522914375267134E-2</c:v>
                </c:pt>
                <c:pt idx="2">
                  <c:v>7.6522914375267134E-2</c:v>
                </c:pt>
              </c:numCache>
            </c:numRef>
          </c:val>
        </c:ser>
        <c:dLbls>
          <c:showLegendKey val="0"/>
          <c:showVal val="0"/>
          <c:showCatName val="0"/>
          <c:showSerName val="0"/>
          <c:showPercent val="0"/>
          <c:showBubbleSize val="0"/>
        </c:dLbls>
        <c:gapWidth val="150"/>
        <c:overlap val="100"/>
        <c:axId val="57966592"/>
        <c:axId val="57968512"/>
      </c:barChart>
      <c:catAx>
        <c:axId val="57966592"/>
        <c:scaling>
          <c:orientation val="minMax"/>
        </c:scaling>
        <c:delete val="0"/>
        <c:axPos val="b"/>
        <c:majorGridlines>
          <c:spPr>
            <a:ln>
              <a:solidFill>
                <a:schemeClr val="bg1">
                  <a:lumMod val="85000"/>
                </a:schemeClr>
              </a:solidFill>
            </a:ln>
          </c:spPr>
        </c:majorGridlines>
        <c:title>
          <c:tx>
            <c:rich>
              <a:bodyPr/>
              <a:lstStyle/>
              <a:p>
                <a:pPr>
                  <a:defRPr/>
                </a:pPr>
                <a:r>
                  <a:rPr lang="en-US" baseline="0"/>
                  <a:t>Installed Capacity (MW)</a:t>
                </a:r>
              </a:p>
            </c:rich>
          </c:tx>
          <c:overlay val="0"/>
        </c:title>
        <c:numFmt formatCode="0" sourceLinked="0"/>
        <c:majorTickMark val="out"/>
        <c:minorTickMark val="none"/>
        <c:tickLblPos val="nextTo"/>
        <c:crossAx val="57968512"/>
        <c:crosses val="autoZero"/>
        <c:auto val="1"/>
        <c:lblAlgn val="ctr"/>
        <c:lblOffset val="100"/>
        <c:noMultiLvlLbl val="0"/>
      </c:catAx>
      <c:valAx>
        <c:axId val="57968512"/>
        <c:scaling>
          <c:orientation val="minMax"/>
          <c:min val="0"/>
        </c:scaling>
        <c:delete val="0"/>
        <c:axPos val="l"/>
        <c:majorGridlines>
          <c:spPr>
            <a:ln>
              <a:solidFill>
                <a:schemeClr val="bg1">
                  <a:lumMod val="85000"/>
                </a:schemeClr>
              </a:solidFill>
            </a:ln>
          </c:spPr>
        </c:majorGridlines>
        <c:title>
          <c:tx>
            <c:rich>
              <a:bodyPr rot="-5400000" vert="horz"/>
              <a:lstStyle/>
              <a:p>
                <a:pPr>
                  <a:defRPr/>
                </a:pPr>
                <a:r>
                  <a:rPr lang="en-US"/>
                  <a:t>LCoE (cents/kWh)</a:t>
                </a:r>
              </a:p>
            </c:rich>
          </c:tx>
          <c:layout>
            <c:manualLayout>
              <c:xMode val="edge"/>
              <c:yMode val="edge"/>
              <c:x val="9.1848450057405284E-3"/>
              <c:y val="0.31372635021380851"/>
            </c:manualLayout>
          </c:layout>
          <c:overlay val="0"/>
        </c:title>
        <c:numFmt formatCode="0.0" sourceLinked="1"/>
        <c:majorTickMark val="out"/>
        <c:minorTickMark val="none"/>
        <c:tickLblPos val="nextTo"/>
        <c:crossAx val="57966592"/>
        <c:crosses val="autoZero"/>
        <c:crossBetween val="between"/>
      </c:valAx>
    </c:plotArea>
    <c:legend>
      <c:legendPos val="r"/>
      <c:overlay val="0"/>
    </c:legend>
    <c:plotVisOnly val="1"/>
    <c:dispBlanksAs val="gap"/>
    <c:showDLblsOverMax val="0"/>
  </c:chart>
  <c:spPr>
    <a:solidFill>
      <a:sysClr val="window" lastClr="FFFFFF"/>
    </a:solid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'Report Graphs'!$A$159:$A$163</c:f>
              <c:numCache>
                <c:formatCode>0.00</c:formatCode>
                <c:ptCount val="5"/>
                <c:pt idx="0">
                  <c:v>1.1999999999999997</c:v>
                </c:pt>
                <c:pt idx="1">
                  <c:v>1.3999999999999992</c:v>
                </c:pt>
                <c:pt idx="2">
                  <c:v>1.599999999999999</c:v>
                </c:pt>
                <c:pt idx="3">
                  <c:v>1.8</c:v>
                </c:pt>
                <c:pt idx="4">
                  <c:v>2</c:v>
                </c:pt>
              </c:numCache>
            </c:numRef>
          </c:xVal>
          <c:yVal>
            <c:numRef>
              <c:f>'Report Graphs'!$D$159:$D$163</c:f>
              <c:numCache>
                <c:formatCode>0.00</c:formatCode>
                <c:ptCount val="5"/>
                <c:pt idx="0">
                  <c:v>21.171347714231828</c:v>
                </c:pt>
                <c:pt idx="1">
                  <c:v>15.440099603749093</c:v>
                </c:pt>
                <c:pt idx="2">
                  <c:v>12.224747331457332</c:v>
                </c:pt>
                <c:pt idx="3">
                  <c:v>10.282451195544601</c:v>
                </c:pt>
                <c:pt idx="4">
                  <c:v>9.0423186770957038</c:v>
                </c:pt>
              </c:numCache>
            </c:numRef>
          </c:yVal>
          <c:smooth val="1"/>
        </c:ser>
        <c:ser>
          <c:idx val="1"/>
          <c:order val="1"/>
          <c:xVal>
            <c:numRef>
              <c:f>'Report Graphs'!$A$164</c:f>
              <c:numCache>
                <c:formatCode>0.00</c:formatCode>
                <c:ptCount val="1"/>
                <c:pt idx="0">
                  <c:v>1.5399722249297996</c:v>
                </c:pt>
              </c:numCache>
            </c:numRef>
          </c:xVal>
          <c:yVal>
            <c:numRef>
              <c:f>'Report Graphs'!$D$164</c:f>
              <c:numCache>
                <c:formatCode>0.00</c:formatCode>
                <c:ptCount val="1"/>
                <c:pt idx="0">
                  <c:v>12.99121986014282</c:v>
                </c:pt>
              </c:numCache>
            </c:numRef>
          </c:yVal>
          <c:smooth val="1"/>
        </c:ser>
        <c:dLbls>
          <c:showLegendKey val="0"/>
          <c:showVal val="0"/>
          <c:showCatName val="0"/>
          <c:showSerName val="0"/>
          <c:showPercent val="0"/>
          <c:showBubbleSize val="0"/>
        </c:dLbls>
        <c:axId val="57981952"/>
        <c:axId val="58393728"/>
      </c:scatterChart>
      <c:valAx>
        <c:axId val="57981952"/>
        <c:scaling>
          <c:orientation val="minMax"/>
          <c:min val="1"/>
        </c:scaling>
        <c:delete val="0"/>
        <c:axPos val="b"/>
        <c:majorGridlines>
          <c:spPr>
            <a:ln>
              <a:solidFill>
                <a:schemeClr val="bg1">
                  <a:lumMod val="85000"/>
                </a:schemeClr>
              </a:solidFill>
            </a:ln>
          </c:spPr>
        </c:majorGridlines>
        <c:title>
          <c:tx>
            <c:rich>
              <a:bodyPr/>
              <a:lstStyle/>
              <a:p>
                <a:pPr>
                  <a:defRPr/>
                </a:pPr>
                <a:r>
                  <a:rPr lang="en-US"/>
                  <a:t>Mean Velocity (m/s)</a:t>
                </a:r>
              </a:p>
            </c:rich>
          </c:tx>
          <c:overlay val="0"/>
        </c:title>
        <c:numFmt formatCode="0.00" sourceLinked="1"/>
        <c:majorTickMark val="out"/>
        <c:minorTickMark val="none"/>
        <c:tickLblPos val="nextTo"/>
        <c:crossAx val="58393728"/>
        <c:crosses val="autoZero"/>
        <c:crossBetween val="midCat"/>
      </c:valAx>
      <c:valAx>
        <c:axId val="58393728"/>
        <c:scaling>
          <c:orientation val="minMax"/>
        </c:scaling>
        <c:delete val="0"/>
        <c:axPos val="l"/>
        <c:majorGridlines>
          <c:spPr>
            <a:ln>
              <a:solidFill>
                <a:schemeClr val="bg1">
                  <a:lumMod val="85000"/>
                </a:schemeClr>
              </a:solidFill>
            </a:ln>
          </c:spPr>
        </c:majorGridlines>
        <c:title>
          <c:tx>
            <c:rich>
              <a:bodyPr rot="-5400000" vert="horz"/>
              <a:lstStyle/>
              <a:p>
                <a:pPr>
                  <a:defRPr/>
                </a:pPr>
                <a:r>
                  <a:rPr lang="en-US"/>
                  <a:t>CoE (cents/kWh)</a:t>
                </a:r>
              </a:p>
            </c:rich>
          </c:tx>
          <c:overlay val="0"/>
        </c:title>
        <c:numFmt formatCode="0.00" sourceLinked="1"/>
        <c:majorTickMark val="out"/>
        <c:minorTickMark val="none"/>
        <c:tickLblPos val="nextTo"/>
        <c:crossAx val="57981952"/>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marker>
            <c:symbol val="none"/>
          </c:marker>
          <c:xVal>
            <c:numRef>
              <c:f>'Report Graphs'!$C$159:$C$163</c:f>
              <c:numCache>
                <c:formatCode>0.00</c:formatCode>
                <c:ptCount val="5"/>
                <c:pt idx="0">
                  <c:v>0.98129881390186713</c:v>
                </c:pt>
                <c:pt idx="1">
                  <c:v>1.5582661720756477</c:v>
                </c:pt>
                <c:pt idx="2">
                  <c:v>2.3260416329525708</c:v>
                </c:pt>
                <c:pt idx="3">
                  <c:v>3.3118834969188033</c:v>
                </c:pt>
                <c:pt idx="4">
                  <c:v>4.5430500643604974</c:v>
                </c:pt>
              </c:numCache>
            </c:numRef>
          </c:xVal>
          <c:yVal>
            <c:numRef>
              <c:f>'Report Graphs'!$D$159:$D$163</c:f>
              <c:numCache>
                <c:formatCode>0.00</c:formatCode>
                <c:ptCount val="5"/>
                <c:pt idx="0">
                  <c:v>21.171347714231828</c:v>
                </c:pt>
                <c:pt idx="1">
                  <c:v>15.440099603749093</c:v>
                </c:pt>
                <c:pt idx="2">
                  <c:v>12.224747331457332</c:v>
                </c:pt>
                <c:pt idx="3">
                  <c:v>10.282451195544601</c:v>
                </c:pt>
                <c:pt idx="4">
                  <c:v>9.0423186770957038</c:v>
                </c:pt>
              </c:numCache>
            </c:numRef>
          </c:yVal>
          <c:smooth val="0"/>
        </c:ser>
        <c:ser>
          <c:idx val="1"/>
          <c:order val="1"/>
          <c:xVal>
            <c:numRef>
              <c:f>'Report Graphs'!$C$164</c:f>
              <c:numCache>
                <c:formatCode>0.00</c:formatCode>
                <c:ptCount val="1"/>
                <c:pt idx="0">
                  <c:v>2.0739400557303016</c:v>
                </c:pt>
              </c:numCache>
            </c:numRef>
          </c:xVal>
          <c:yVal>
            <c:numRef>
              <c:f>'Report Graphs'!$D$164</c:f>
              <c:numCache>
                <c:formatCode>0.00</c:formatCode>
                <c:ptCount val="1"/>
                <c:pt idx="0">
                  <c:v>12.99121986014282</c:v>
                </c:pt>
              </c:numCache>
            </c:numRef>
          </c:yVal>
          <c:smooth val="0"/>
        </c:ser>
        <c:dLbls>
          <c:showLegendKey val="0"/>
          <c:showVal val="0"/>
          <c:showCatName val="0"/>
          <c:showSerName val="0"/>
          <c:showPercent val="0"/>
          <c:showBubbleSize val="0"/>
        </c:dLbls>
        <c:axId val="58410496"/>
        <c:axId val="58412416"/>
      </c:scatterChart>
      <c:valAx>
        <c:axId val="58410496"/>
        <c:scaling>
          <c:orientation val="minMax"/>
        </c:scaling>
        <c:delete val="0"/>
        <c:axPos val="b"/>
        <c:majorGridlines>
          <c:spPr>
            <a:ln>
              <a:solidFill>
                <a:schemeClr val="bg1">
                  <a:lumMod val="85000"/>
                </a:schemeClr>
              </a:solidFill>
            </a:ln>
          </c:spPr>
        </c:majorGridlines>
        <c:title>
          <c:tx>
            <c:rich>
              <a:bodyPr/>
              <a:lstStyle/>
              <a:p>
                <a:pPr>
                  <a:defRPr/>
                </a:pPr>
                <a:r>
                  <a:rPr lang="en-US"/>
                  <a:t>Mean Power</a:t>
                </a:r>
                <a:r>
                  <a:rPr lang="en-US" baseline="0"/>
                  <a:t> Flux</a:t>
                </a:r>
                <a:r>
                  <a:rPr lang="en-US"/>
                  <a:t> (kW/m</a:t>
                </a:r>
                <a:r>
                  <a:rPr lang="en-US" baseline="30000"/>
                  <a:t>2</a:t>
                </a:r>
                <a:r>
                  <a:rPr lang="en-US"/>
                  <a:t>)</a:t>
                </a:r>
              </a:p>
            </c:rich>
          </c:tx>
          <c:overlay val="0"/>
        </c:title>
        <c:numFmt formatCode="0.00" sourceLinked="1"/>
        <c:majorTickMark val="out"/>
        <c:minorTickMark val="none"/>
        <c:tickLblPos val="nextTo"/>
        <c:crossAx val="58412416"/>
        <c:crosses val="autoZero"/>
        <c:crossBetween val="midCat"/>
      </c:valAx>
      <c:valAx>
        <c:axId val="58412416"/>
        <c:scaling>
          <c:orientation val="minMax"/>
        </c:scaling>
        <c:delete val="0"/>
        <c:axPos val="l"/>
        <c:majorGridlines>
          <c:spPr>
            <a:ln>
              <a:solidFill>
                <a:schemeClr val="bg1">
                  <a:lumMod val="85000"/>
                </a:schemeClr>
              </a:solidFill>
            </a:ln>
          </c:spPr>
        </c:majorGridlines>
        <c:title>
          <c:tx>
            <c:rich>
              <a:bodyPr rot="-5400000" vert="horz"/>
              <a:lstStyle/>
              <a:p>
                <a:pPr>
                  <a:defRPr/>
                </a:pPr>
                <a:r>
                  <a:rPr lang="en-US"/>
                  <a:t>CoE (cents/kWh)</a:t>
                </a:r>
              </a:p>
            </c:rich>
          </c:tx>
          <c:overlay val="0"/>
        </c:title>
        <c:numFmt formatCode="0.00" sourceLinked="1"/>
        <c:majorTickMark val="out"/>
        <c:minorTickMark val="none"/>
        <c:tickLblPos val="nextTo"/>
        <c:crossAx val="58410496"/>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spPr>
            <a:ln>
              <a:solidFill>
                <a:schemeClr val="accent1"/>
              </a:solidFill>
            </a:ln>
          </c:spPr>
          <c:marker>
            <c:symbol val="none"/>
          </c:marker>
          <c:xVal>
            <c:numRef>
              <c:f>'Report Graphs'!$B$159:$B$163</c:f>
              <c:numCache>
                <c:formatCode>0.00</c:formatCode>
                <c:ptCount val="5"/>
                <c:pt idx="0">
                  <c:v>2.2597810166080361</c:v>
                </c:pt>
                <c:pt idx="1">
                  <c:v>2.6364111860427073</c:v>
                </c:pt>
                <c:pt idx="2">
                  <c:v>3.0130413554773803</c:v>
                </c:pt>
                <c:pt idx="3">
                  <c:v>3.3896715249120541</c:v>
                </c:pt>
                <c:pt idx="4">
                  <c:v>3.7663016943467267</c:v>
                </c:pt>
              </c:numCache>
            </c:numRef>
          </c:xVal>
          <c:yVal>
            <c:numRef>
              <c:f>'Report Graphs'!$D$159:$D$163</c:f>
              <c:numCache>
                <c:formatCode>0.00</c:formatCode>
                <c:ptCount val="5"/>
                <c:pt idx="0">
                  <c:v>21.171347714231828</c:v>
                </c:pt>
                <c:pt idx="1">
                  <c:v>15.440099603749093</c:v>
                </c:pt>
                <c:pt idx="2">
                  <c:v>12.224747331457332</c:v>
                </c:pt>
                <c:pt idx="3">
                  <c:v>10.282451195544601</c:v>
                </c:pt>
                <c:pt idx="4">
                  <c:v>9.0423186770957038</c:v>
                </c:pt>
              </c:numCache>
            </c:numRef>
          </c:yVal>
          <c:smooth val="1"/>
        </c:ser>
        <c:ser>
          <c:idx val="1"/>
          <c:order val="1"/>
          <c:xVal>
            <c:numRef>
              <c:f>'Report Graphs'!$B$164</c:f>
              <c:numCache>
                <c:formatCode>0.00</c:formatCode>
                <c:ptCount val="1"/>
                <c:pt idx="0">
                  <c:v>2.9000000000000012</c:v>
                </c:pt>
              </c:numCache>
            </c:numRef>
          </c:xVal>
          <c:yVal>
            <c:numRef>
              <c:f>'Report Graphs'!$D$164</c:f>
              <c:numCache>
                <c:formatCode>0.00</c:formatCode>
                <c:ptCount val="1"/>
                <c:pt idx="0">
                  <c:v>12.99121986014282</c:v>
                </c:pt>
              </c:numCache>
            </c:numRef>
          </c:yVal>
          <c:smooth val="1"/>
        </c:ser>
        <c:dLbls>
          <c:showLegendKey val="0"/>
          <c:showVal val="0"/>
          <c:showCatName val="0"/>
          <c:showSerName val="0"/>
          <c:showPercent val="0"/>
          <c:showBubbleSize val="0"/>
        </c:dLbls>
        <c:axId val="58445824"/>
        <c:axId val="58447744"/>
      </c:scatterChart>
      <c:valAx>
        <c:axId val="58445824"/>
        <c:scaling>
          <c:orientation val="minMax"/>
          <c:min val="1"/>
        </c:scaling>
        <c:delete val="0"/>
        <c:axPos val="b"/>
        <c:majorGridlines>
          <c:spPr>
            <a:ln>
              <a:solidFill>
                <a:schemeClr val="bg1">
                  <a:lumMod val="85000"/>
                </a:schemeClr>
              </a:solidFill>
            </a:ln>
          </c:spPr>
        </c:majorGridlines>
        <c:title>
          <c:tx>
            <c:rich>
              <a:bodyPr/>
              <a:lstStyle/>
              <a:p>
                <a:pPr>
                  <a:defRPr/>
                </a:pPr>
                <a:r>
                  <a:rPr lang="en-US"/>
                  <a:t>Peak Velocity (m/s)</a:t>
                </a:r>
              </a:p>
            </c:rich>
          </c:tx>
          <c:overlay val="0"/>
        </c:title>
        <c:numFmt formatCode="0.00" sourceLinked="1"/>
        <c:majorTickMark val="out"/>
        <c:minorTickMark val="none"/>
        <c:tickLblPos val="nextTo"/>
        <c:crossAx val="58447744"/>
        <c:crosses val="autoZero"/>
        <c:crossBetween val="midCat"/>
      </c:valAx>
      <c:valAx>
        <c:axId val="58447744"/>
        <c:scaling>
          <c:orientation val="minMax"/>
        </c:scaling>
        <c:delete val="0"/>
        <c:axPos val="l"/>
        <c:majorGridlines>
          <c:spPr>
            <a:ln>
              <a:solidFill>
                <a:schemeClr val="bg1">
                  <a:lumMod val="85000"/>
                </a:schemeClr>
              </a:solidFill>
            </a:ln>
          </c:spPr>
        </c:majorGridlines>
        <c:title>
          <c:tx>
            <c:rich>
              <a:bodyPr rot="-5400000" vert="horz"/>
              <a:lstStyle/>
              <a:p>
                <a:pPr>
                  <a:defRPr/>
                </a:pPr>
                <a:r>
                  <a:rPr lang="en-US"/>
                  <a:t>CoE (cents/kWh)</a:t>
                </a:r>
              </a:p>
            </c:rich>
          </c:tx>
          <c:overlay val="0"/>
        </c:title>
        <c:numFmt formatCode="0.00" sourceLinked="1"/>
        <c:majorTickMark val="out"/>
        <c:minorTickMark val="none"/>
        <c:tickLblPos val="nextTo"/>
        <c:crossAx val="58445824"/>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202405</xdr:colOff>
      <xdr:row>13</xdr:row>
      <xdr:rowOff>47625</xdr:rowOff>
    </xdr:from>
    <xdr:to>
      <xdr:col>11</xdr:col>
      <xdr:colOff>403638</xdr:colOff>
      <xdr:row>36</xdr:row>
      <xdr:rowOff>154781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405" y="3667125"/>
          <a:ext cx="6892546" cy="44886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5</xdr:row>
      <xdr:rowOff>152401</xdr:rowOff>
    </xdr:from>
    <xdr:to>
      <xdr:col>10</xdr:col>
      <xdr:colOff>361950</xdr:colOff>
      <xdr:row>25</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57150</xdr:rowOff>
    </xdr:from>
    <xdr:to>
      <xdr:col>10</xdr:col>
      <xdr:colOff>476250</xdr:colOff>
      <xdr:row>46</xdr:row>
      <xdr:rowOff>176743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38100</xdr:rowOff>
    </xdr:from>
    <xdr:to>
      <xdr:col>10</xdr:col>
      <xdr:colOff>533400</xdr:colOff>
      <xdr:row>67</xdr:row>
      <xdr:rowOff>157693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69</xdr:row>
      <xdr:rowOff>85725</xdr:rowOff>
    </xdr:from>
    <xdr:to>
      <xdr:col>11</xdr:col>
      <xdr:colOff>295275</xdr:colOff>
      <xdr:row>89</xdr:row>
      <xdr:rowOff>14818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89</xdr:row>
      <xdr:rowOff>57150</xdr:rowOff>
    </xdr:from>
    <xdr:to>
      <xdr:col>10</xdr:col>
      <xdr:colOff>476250</xdr:colOff>
      <xdr:row>108</xdr:row>
      <xdr:rowOff>176743</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109</xdr:row>
      <xdr:rowOff>133350</xdr:rowOff>
    </xdr:from>
    <xdr:to>
      <xdr:col>11</xdr:col>
      <xdr:colOff>295275</xdr:colOff>
      <xdr:row>129</xdr:row>
      <xdr:rowOff>62443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142876</xdr:colOff>
      <xdr:row>165</xdr:row>
      <xdr:rowOff>66675</xdr:rowOff>
    </xdr:from>
    <xdr:to>
      <xdr:col>5</xdr:col>
      <xdr:colOff>152401</xdr:colOff>
      <xdr:row>179</xdr:row>
      <xdr:rowOff>142875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171450</xdr:colOff>
      <xdr:row>180</xdr:row>
      <xdr:rowOff>9525</xdr:rowOff>
    </xdr:from>
    <xdr:to>
      <xdr:col>5</xdr:col>
      <xdr:colOff>2801</xdr:colOff>
      <xdr:row>194</xdr:row>
      <xdr:rowOff>85725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152400</xdr:colOff>
      <xdr:row>195</xdr:row>
      <xdr:rowOff>76200</xdr:rowOff>
    </xdr:from>
    <xdr:to>
      <xdr:col>5</xdr:col>
      <xdr:colOff>352425</xdr:colOff>
      <xdr:row>211</xdr:row>
      <xdr:rowOff>85725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absoluteAnchor>
    <xdr:pos x="0" y="42786301"/>
    <xdr:ext cx="6867525" cy="3790950"/>
    <xdr:graphicFrame macro="">
      <xdr:nvGraphicFramePr>
        <xdr:cNvPr id="12" name="Chart 1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absoluteAnchor>
  <xdr:twoCellAnchor>
    <xdr:from>
      <xdr:col>0</xdr:col>
      <xdr:colOff>0</xdr:colOff>
      <xdr:row>131</xdr:row>
      <xdr:rowOff>47625</xdr:rowOff>
    </xdr:from>
    <xdr:to>
      <xdr:col>11</xdr:col>
      <xdr:colOff>66675</xdr:colOff>
      <xdr:row>150</xdr:row>
      <xdr:rowOff>167218</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17</xdr:row>
          <xdr:rowOff>0</xdr:rowOff>
        </xdr:from>
        <xdr:to>
          <xdr:col>7</xdr:col>
          <xdr:colOff>495300</xdr:colOff>
          <xdr:row>17</xdr:row>
          <xdr:rowOff>0</xdr:rowOff>
        </xdr:to>
        <xdr:sp macro="" textlink="">
          <xdr:nvSpPr>
            <xdr:cNvPr id="29697" name="CommandButton1" hidden="1">
              <a:extLst>
                <a:ext uri="{63B3BB69-23CF-44E3-9099-C40C66FF867C}">
                  <a14:compatExt spid="_x0000_s29697"/>
                </a:ext>
              </a:extLst>
            </xdr:cNvPr>
            <xdr:cNvSpPr/>
          </xdr:nvSpPr>
          <xdr:spPr>
            <a:xfrm>
              <a:off x="0" y="0"/>
              <a:ext cx="0" cy="0"/>
            </a:xfrm>
            <a:prstGeom prst="rect">
              <a:avLst/>
            </a:prstGeom>
          </xdr:spPr>
        </xdr:sp>
        <xdr:clientData fLocksWithSheet="0"/>
      </xdr:twoCellAnchor>
    </mc:Choice>
    <mc:Fallback/>
  </mc:AlternateContent>
  <xdr:twoCellAnchor>
    <xdr:from>
      <xdr:col>13</xdr:col>
      <xdr:colOff>35718</xdr:colOff>
      <xdr:row>18</xdr:row>
      <xdr:rowOff>86915</xdr:rowOff>
    </xdr:from>
    <xdr:to>
      <xdr:col>23</xdr:col>
      <xdr:colOff>273844</xdr:colOff>
      <xdr:row>50</xdr:row>
      <xdr:rowOff>119062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54429</xdr:colOff>
      <xdr:row>13</xdr:row>
      <xdr:rowOff>27215</xdr:rowOff>
    </xdr:from>
    <xdr:to>
      <xdr:col>11</xdr:col>
      <xdr:colOff>244929</xdr:colOff>
      <xdr:row>30</xdr:row>
      <xdr:rowOff>111175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6245679" y="2503715"/>
          <a:ext cx="5728607" cy="3322460"/>
        </a:xfrm>
        <a:prstGeom prst="rect">
          <a:avLst/>
        </a:prstGeom>
      </xdr:spPr>
    </xdr:pic>
    <xdr:clientData/>
  </xdr:twoCellAnchor>
  <xdr:twoCellAnchor editAs="oneCell">
    <xdr:from>
      <xdr:col>11</xdr:col>
      <xdr:colOff>40822</xdr:colOff>
      <xdr:row>12</xdr:row>
      <xdr:rowOff>136072</xdr:rowOff>
    </xdr:from>
    <xdr:to>
      <xdr:col>19</xdr:col>
      <xdr:colOff>24176</xdr:colOff>
      <xdr:row>30</xdr:row>
      <xdr:rowOff>122465</xdr:rowOff>
    </xdr:to>
    <xdr:pic>
      <xdr:nvPicPr>
        <xdr:cNvPr id="3" name="Picture 2"/>
        <xdr:cNvPicPr>
          <a:picLocks noChangeAspect="1"/>
        </xdr:cNvPicPr>
      </xdr:nvPicPr>
      <xdr:blipFill>
        <a:blip xmlns:r="http://schemas.openxmlformats.org/officeDocument/2006/relationships" r:embed="rId2"/>
        <a:stretch>
          <a:fillRect/>
        </a:stretch>
      </xdr:blipFill>
      <xdr:spPr>
        <a:xfrm>
          <a:off x="12042322" y="2422072"/>
          <a:ext cx="4881926" cy="34153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31747</xdr:colOff>
      <xdr:row>1</xdr:row>
      <xdr:rowOff>31752</xdr:rowOff>
    </xdr:from>
    <xdr:to>
      <xdr:col>21</xdr:col>
      <xdr:colOff>118582</xdr:colOff>
      <xdr:row>24</xdr:row>
      <xdr:rowOff>84668</xdr:rowOff>
    </xdr:to>
    <xdr:pic>
      <xdr:nvPicPr>
        <xdr:cNvPr id="2" name="Picture 1" descr="Backup_of_oct_concept4.v3.png"/>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0" t="2657" r="62623" b="25235"/>
        <a:stretch/>
      </xdr:blipFill>
      <xdr:spPr>
        <a:xfrm>
          <a:off x="7196664" y="222252"/>
          <a:ext cx="6839002" cy="4434416"/>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22</xdr:row>
      <xdr:rowOff>0</xdr:rowOff>
    </xdr:from>
    <xdr:to>
      <xdr:col>3</xdr:col>
      <xdr:colOff>0</xdr:colOff>
      <xdr:row>37</xdr:row>
      <xdr:rowOff>104775</xdr:rowOff>
    </xdr:to>
    <xdr:graphicFrame macro="">
      <xdr:nvGraphicFramePr>
        <xdr:cNvPr id="2" name="Chart 1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22</xdr:row>
      <xdr:rowOff>0</xdr:rowOff>
    </xdr:from>
    <xdr:to>
      <xdr:col>3</xdr:col>
      <xdr:colOff>0</xdr:colOff>
      <xdr:row>37</xdr:row>
      <xdr:rowOff>104775</xdr:rowOff>
    </xdr:to>
    <xdr:graphicFrame macro="">
      <xdr:nvGraphicFramePr>
        <xdr:cNvPr id="3" name="Chart 1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Tidal%20Energy%20Reference%20Model%201/Tidal%20Performanc%20&amp;%20Economic%20Model/3-31-2011%20Final%20Results/Previous%20Work/MCT%20Model%20Short%20MP%2004-29-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Projects/SnoPUD/Resource%20Measurements/AI_AH_ADCP_new/AI_AH_1_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irko/AppData/Local/Microsoft/Windows/Temporary%20Internet%20Files/Content.Outlook/HQ0EO667/OCT%20Cost%20JE%206-10-2012v3%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Reporting"/>
      <sheetName val="Energy Model"/>
      <sheetName val="COE Model"/>
      <sheetName val="Cost Functions"/>
    </sheetNames>
    <sheetDataSet>
      <sheetData sheetId="0" refreshError="1">
        <row r="4">
          <cell r="K4">
            <v>55</v>
          </cell>
        </row>
        <row r="6">
          <cell r="K6">
            <v>0.95</v>
          </cell>
        </row>
        <row r="9">
          <cell r="K9">
            <v>9000</v>
          </cell>
        </row>
        <row r="10">
          <cell r="E10">
            <v>17</v>
          </cell>
        </row>
        <row r="11">
          <cell r="E11">
            <v>0.45</v>
          </cell>
          <cell r="K11">
            <v>22750</v>
          </cell>
        </row>
        <row r="12">
          <cell r="E12">
            <v>0.7</v>
          </cell>
        </row>
        <row r="13">
          <cell r="K13">
            <v>0</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AI_AH_ADCP_1_2007"/>
    </sheetNames>
    <sheetDataSet>
      <sheetData sheetId="0">
        <row r="2">
          <cell r="B2">
            <v>1024</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Graphs"/>
      <sheetName val="CAPEX_S-Curve"/>
      <sheetName val="Report"/>
      <sheetName val="DB"/>
      <sheetName val="Inupt Screen Database"/>
      <sheetName val="Tables"/>
      <sheetName val="CAPEX_MonteCarlo_simulation"/>
      <sheetName val="Econ IO"/>
      <sheetName val="Sensitivity"/>
      <sheetName val="Energy IO"/>
      <sheetName val="Energy Model"/>
      <sheetName val="Non-Utility Model"/>
      <sheetName val="Non-Utility Model no taxes"/>
      <sheetName val="Utility Model"/>
      <sheetName val="Sheet1"/>
    </sheetNames>
    <sheetDataSet>
      <sheetData sheetId="0" refreshError="1">
        <row r="10">
          <cell r="E10">
            <v>1</v>
          </cell>
        </row>
        <row r="11">
          <cell r="E11">
            <v>350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rko@re-vision.net"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control" Target="../activeX/activeX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abSelected="1" zoomScale="70" zoomScaleNormal="70" workbookViewId="0">
      <selection activeCell="R17" sqref="R17"/>
    </sheetView>
  </sheetViews>
  <sheetFormatPr defaultRowHeight="14.4" x14ac:dyDescent="0.3"/>
  <cols>
    <col min="1" max="1" width="3.6640625" customWidth="1"/>
    <col min="2" max="2" width="12.6640625" customWidth="1"/>
    <col min="3" max="3" width="11" customWidth="1"/>
  </cols>
  <sheetData>
    <row r="1" spans="1:4" x14ac:dyDescent="0.25">
      <c r="A1" s="106" t="s">
        <v>551</v>
      </c>
    </row>
    <row r="3" spans="1:4" x14ac:dyDescent="0.25">
      <c r="A3" t="s">
        <v>556</v>
      </c>
      <c r="C3" t="s">
        <v>552</v>
      </c>
    </row>
    <row r="4" spans="1:4" x14ac:dyDescent="0.25">
      <c r="A4" t="s">
        <v>553</v>
      </c>
      <c r="C4" t="s">
        <v>684</v>
      </c>
    </row>
    <row r="5" spans="1:4" x14ac:dyDescent="0.25">
      <c r="A5" t="s">
        <v>554</v>
      </c>
      <c r="C5" s="232" t="s">
        <v>555</v>
      </c>
    </row>
    <row r="6" spans="1:4" x14ac:dyDescent="0.25">
      <c r="A6" t="s">
        <v>557</v>
      </c>
      <c r="C6" s="233">
        <v>41114</v>
      </c>
    </row>
    <row r="8" spans="1:4" x14ac:dyDescent="0.25">
      <c r="A8" s="393" t="s">
        <v>191</v>
      </c>
    </row>
    <row r="9" spans="1:4" x14ac:dyDescent="0.25">
      <c r="B9" t="s">
        <v>559</v>
      </c>
    </row>
    <row r="10" spans="1:4" x14ac:dyDescent="0.25">
      <c r="B10" t="s">
        <v>560</v>
      </c>
    </row>
    <row r="11" spans="1:4" x14ac:dyDescent="0.25">
      <c r="B11" t="s">
        <v>561</v>
      </c>
    </row>
    <row r="12" spans="1:4" s="391" customFormat="1" x14ac:dyDescent="0.25">
      <c r="B12" s="399"/>
      <c r="C12" s="398"/>
      <c r="D12" s="398"/>
    </row>
    <row r="13" spans="1:4" x14ac:dyDescent="0.25">
      <c r="A13" s="393" t="s">
        <v>558</v>
      </c>
    </row>
  </sheetData>
  <hyperlinks>
    <hyperlink ref="C5"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44"/>
  <sheetViews>
    <sheetView zoomScale="70" zoomScaleNormal="70" workbookViewId="0"/>
  </sheetViews>
  <sheetFormatPr defaultRowHeight="14.4" x14ac:dyDescent="0.3"/>
  <cols>
    <col min="1" max="1" width="5.88671875" customWidth="1"/>
    <col min="2" max="2" width="5.6640625" customWidth="1"/>
    <col min="3" max="3" width="53.5546875" customWidth="1"/>
    <col min="4" max="4" width="11.44140625" customWidth="1"/>
    <col min="5" max="5" width="15" bestFit="1" customWidth="1"/>
    <col min="6" max="7" width="16.109375" bestFit="1" customWidth="1"/>
    <col min="8" max="8" width="17.33203125" bestFit="1" customWidth="1"/>
  </cols>
  <sheetData>
    <row r="1" spans="1:10" x14ac:dyDescent="0.25">
      <c r="A1" s="113"/>
      <c r="B1" s="113"/>
      <c r="C1" s="113"/>
      <c r="D1" s="113"/>
      <c r="E1" s="113"/>
      <c r="F1" s="113"/>
      <c r="G1" s="113"/>
      <c r="H1" s="113"/>
      <c r="I1" s="113"/>
      <c r="J1" s="113"/>
    </row>
    <row r="2" spans="1:10" x14ac:dyDescent="0.25">
      <c r="A2" s="113"/>
      <c r="B2" s="113"/>
      <c r="C2" s="113"/>
      <c r="D2" s="113"/>
      <c r="E2" s="113"/>
      <c r="F2" s="113"/>
      <c r="G2" s="113"/>
      <c r="H2" s="113"/>
      <c r="I2" s="113"/>
      <c r="J2" s="113"/>
    </row>
    <row r="3" spans="1:10" x14ac:dyDescent="0.25">
      <c r="A3" s="106" t="s">
        <v>253</v>
      </c>
      <c r="B3" s="113"/>
      <c r="C3" s="113"/>
      <c r="D3" s="113" t="s">
        <v>68</v>
      </c>
      <c r="E3" s="113">
        <v>1</v>
      </c>
      <c r="F3" s="113">
        <v>10</v>
      </c>
      <c r="G3" s="113">
        <v>50</v>
      </c>
      <c r="H3" s="113">
        <v>100</v>
      </c>
      <c r="I3" s="113"/>
      <c r="J3" s="113"/>
    </row>
    <row r="4" spans="1:10" x14ac:dyDescent="0.25">
      <c r="A4" s="106"/>
      <c r="B4" s="113" t="s">
        <v>20</v>
      </c>
      <c r="C4" s="113" t="s">
        <v>21</v>
      </c>
      <c r="D4" s="113"/>
      <c r="E4" s="87">
        <f>E20</f>
        <v>1449901.5748031496</v>
      </c>
      <c r="F4" s="87">
        <f t="shared" ref="F4:H4" si="0">F20</f>
        <v>14499015.748031495</v>
      </c>
      <c r="G4" s="87">
        <f t="shared" si="0"/>
        <v>72495078.740157485</v>
      </c>
      <c r="H4" s="87">
        <f t="shared" si="0"/>
        <v>144990157.48031497</v>
      </c>
      <c r="I4" s="113"/>
      <c r="J4" s="113"/>
    </row>
    <row r="5" spans="1:10" x14ac:dyDescent="0.25">
      <c r="A5" s="106"/>
      <c r="B5" s="113" t="s">
        <v>22</v>
      </c>
      <c r="C5" s="113" t="s">
        <v>23</v>
      </c>
      <c r="D5" s="113"/>
      <c r="E5" s="87">
        <f>E27</f>
        <v>569084</v>
      </c>
      <c r="F5" s="87">
        <f t="shared" ref="F5:H5" si="1">F27</f>
        <v>2185807</v>
      </c>
      <c r="G5" s="87">
        <f t="shared" si="1"/>
        <v>9244478</v>
      </c>
      <c r="H5" s="87">
        <f t="shared" si="1"/>
        <v>18149956</v>
      </c>
      <c r="I5" s="113"/>
      <c r="J5" s="113"/>
    </row>
    <row r="6" spans="1:10" x14ac:dyDescent="0.25">
      <c r="A6" s="106"/>
      <c r="B6" s="113" t="s">
        <v>24</v>
      </c>
      <c r="C6" s="113" t="s">
        <v>25</v>
      </c>
      <c r="D6" s="113"/>
      <c r="E6" s="111">
        <v>0</v>
      </c>
      <c r="F6" s="111">
        <v>0</v>
      </c>
      <c r="G6" s="111">
        <v>0</v>
      </c>
      <c r="H6" s="111">
        <v>0</v>
      </c>
      <c r="I6" s="113"/>
      <c r="J6" s="113"/>
    </row>
    <row r="7" spans="1:10" x14ac:dyDescent="0.25">
      <c r="A7" s="106"/>
      <c r="B7" s="113" t="s">
        <v>26</v>
      </c>
      <c r="C7" s="113" t="s">
        <v>27</v>
      </c>
      <c r="D7" s="113"/>
      <c r="E7" s="87">
        <f>E34</f>
        <v>201898.55748031498</v>
      </c>
      <c r="F7" s="87">
        <f t="shared" ref="F7:H7" si="2">F34</f>
        <v>1668482.2748031495</v>
      </c>
      <c r="G7" s="87">
        <f t="shared" si="2"/>
        <v>8173955.6740157492</v>
      </c>
      <c r="H7" s="87">
        <f t="shared" si="2"/>
        <v>16314011.348031498</v>
      </c>
      <c r="I7" s="113"/>
      <c r="J7" s="113"/>
    </row>
    <row r="8" spans="1:10" x14ac:dyDescent="0.25">
      <c r="A8" s="106"/>
      <c r="B8" s="113" t="s">
        <v>28</v>
      </c>
      <c r="C8" s="113" t="s">
        <v>18</v>
      </c>
      <c r="D8" s="113"/>
      <c r="E8" s="111">
        <v>0</v>
      </c>
      <c r="F8" s="111">
        <v>0</v>
      </c>
      <c r="G8" s="111">
        <v>0</v>
      </c>
      <c r="H8" s="111">
        <v>0</v>
      </c>
      <c r="I8" s="113"/>
      <c r="J8" s="113"/>
    </row>
    <row r="9" spans="1:10" x14ac:dyDescent="0.25">
      <c r="A9" s="106"/>
      <c r="B9" s="113"/>
      <c r="C9" s="113"/>
      <c r="D9" s="87"/>
      <c r="E9" s="87"/>
      <c r="F9" s="87"/>
      <c r="G9" s="87"/>
      <c r="H9" s="113"/>
      <c r="I9" s="113"/>
      <c r="J9" s="113"/>
    </row>
    <row r="10" spans="1:10" x14ac:dyDescent="0.25">
      <c r="A10" s="106"/>
      <c r="B10" s="27" t="s">
        <v>86</v>
      </c>
      <c r="C10" s="27"/>
      <c r="D10" s="28"/>
      <c r="E10" s="222">
        <f>SUM(E4:E8)</f>
        <v>2220884.1322834645</v>
      </c>
      <c r="F10" s="222">
        <f t="shared" ref="F10:G10" si="3">SUM(F4:F8)</f>
        <v>18353305.022834644</v>
      </c>
      <c r="G10" s="222">
        <f t="shared" si="3"/>
        <v>89913512.414173231</v>
      </c>
      <c r="H10" s="28">
        <f>SUM(H4:H8)</f>
        <v>179454124.82834646</v>
      </c>
      <c r="I10" s="113"/>
      <c r="J10" s="113"/>
    </row>
    <row r="11" spans="1:10" x14ac:dyDescent="0.25">
      <c r="A11" s="106"/>
      <c r="B11" s="113"/>
      <c r="C11" s="113"/>
      <c r="D11" s="87"/>
      <c r="E11" s="87"/>
      <c r="F11" s="87"/>
      <c r="G11" s="87"/>
      <c r="H11" s="113"/>
      <c r="I11" s="113"/>
      <c r="J11" s="113"/>
    </row>
    <row r="12" spans="1:10" x14ac:dyDescent="0.25">
      <c r="A12" s="106" t="s">
        <v>357</v>
      </c>
    </row>
    <row r="13" spans="1:10" s="118" customFormat="1" x14ac:dyDescent="0.25">
      <c r="A13" s="106"/>
      <c r="B13" s="118" t="s">
        <v>531</v>
      </c>
      <c r="E13" s="228">
        <v>1530</v>
      </c>
      <c r="F13" s="118" t="s">
        <v>509</v>
      </c>
    </row>
    <row r="14" spans="1:10" s="118" customFormat="1" x14ac:dyDescent="0.25">
      <c r="A14" s="106"/>
      <c r="B14" s="118" t="s">
        <v>532</v>
      </c>
      <c r="E14" s="228">
        <f>105/0.3048</f>
        <v>344.48818897637796</v>
      </c>
      <c r="F14" s="118" t="s">
        <v>509</v>
      </c>
    </row>
    <row r="15" spans="1:10" x14ac:dyDescent="0.25">
      <c r="B15" t="s">
        <v>686</v>
      </c>
      <c r="E15" s="364">
        <f>3250*E14</f>
        <v>1119586.6141732284</v>
      </c>
      <c r="F15" s="228">
        <f>$E15*F$3</f>
        <v>11195866.141732283</v>
      </c>
      <c r="G15" s="228">
        <f>$E15*G$3</f>
        <v>55979330.708661422</v>
      </c>
      <c r="H15" s="228">
        <f>$E15*H$3</f>
        <v>111958661.41732284</v>
      </c>
    </row>
    <row r="16" spans="1:10" x14ac:dyDescent="0.25">
      <c r="B16" t="s">
        <v>687</v>
      </c>
      <c r="E16" s="364">
        <f>E14*100</f>
        <v>34448.818897637793</v>
      </c>
      <c r="F16" s="228">
        <f t="shared" ref="F16:H17" si="4">$E16*F$3</f>
        <v>344488.18897637795</v>
      </c>
      <c r="G16" s="228">
        <f t="shared" si="4"/>
        <v>1722440.9448818897</v>
      </c>
      <c r="H16" s="228">
        <f t="shared" si="4"/>
        <v>3444881.8897637795</v>
      </c>
    </row>
    <row r="17" spans="1:9" x14ac:dyDescent="0.25">
      <c r="B17" t="s">
        <v>688</v>
      </c>
      <c r="E17" s="228">
        <f>750*E14</f>
        <v>258366.14173228346</v>
      </c>
      <c r="F17" s="228">
        <f t="shared" si="4"/>
        <v>2583661.4173228345</v>
      </c>
      <c r="G17" s="228">
        <f t="shared" si="4"/>
        <v>12918307.086614173</v>
      </c>
      <c r="H17" s="228">
        <f t="shared" si="4"/>
        <v>25836614.173228346</v>
      </c>
    </row>
    <row r="18" spans="1:9" x14ac:dyDescent="0.25">
      <c r="B18" t="s">
        <v>358</v>
      </c>
      <c r="E18" s="228">
        <f>750*50</f>
        <v>37500</v>
      </c>
      <c r="F18" s="228">
        <f>E18*10</f>
        <v>375000</v>
      </c>
      <c r="G18" s="228">
        <f>E18*50</f>
        <v>1875000</v>
      </c>
      <c r="H18" s="228">
        <f>E18*100</f>
        <v>3750000</v>
      </c>
    </row>
    <row r="19" spans="1:9" s="118" customFormat="1" x14ac:dyDescent="0.25"/>
    <row r="20" spans="1:9" s="118" customFormat="1" x14ac:dyDescent="0.25">
      <c r="B20" s="27" t="s">
        <v>86</v>
      </c>
      <c r="C20" s="27"/>
      <c r="D20" s="27"/>
      <c r="E20" s="28">
        <f>SUM(E15:E18)</f>
        <v>1449901.5748031496</v>
      </c>
      <c r="F20" s="28">
        <f t="shared" ref="F20:H20" si="5">SUM(F15:F18)</f>
        <v>14499015.748031495</v>
      </c>
      <c r="G20" s="28">
        <f t="shared" si="5"/>
        <v>72495078.740157485</v>
      </c>
      <c r="H20" s="28">
        <f t="shared" si="5"/>
        <v>144990157.48031497</v>
      </c>
    </row>
    <row r="22" spans="1:9" x14ac:dyDescent="0.25">
      <c r="A22" s="106" t="s">
        <v>359</v>
      </c>
    </row>
    <row r="23" spans="1:9" x14ac:dyDescent="0.25">
      <c r="B23" t="s">
        <v>527</v>
      </c>
      <c r="E23" s="87">
        <v>156084</v>
      </c>
      <c r="F23" s="87">
        <v>1164807</v>
      </c>
      <c r="G23" s="87">
        <v>5500478</v>
      </c>
      <c r="H23" s="87">
        <f>G23*2</f>
        <v>11000956</v>
      </c>
    </row>
    <row r="24" spans="1:9" x14ac:dyDescent="0.25">
      <c r="B24" t="s">
        <v>361</v>
      </c>
      <c r="E24" s="87">
        <v>350000</v>
      </c>
      <c r="F24" s="87">
        <v>493000</v>
      </c>
      <c r="G24" s="87">
        <v>1153000</v>
      </c>
      <c r="H24" s="87">
        <v>1978000</v>
      </c>
    </row>
    <row r="25" spans="1:9" x14ac:dyDescent="0.25">
      <c r="B25" t="s">
        <v>528</v>
      </c>
      <c r="E25" s="87">
        <v>63000</v>
      </c>
      <c r="F25" s="87">
        <v>528000</v>
      </c>
      <c r="G25" s="87">
        <v>2591000</v>
      </c>
      <c r="H25" s="87">
        <v>5171000</v>
      </c>
    </row>
    <row r="26" spans="1:9" s="118" customFormat="1" x14ac:dyDescent="0.25">
      <c r="E26" s="87"/>
      <c r="F26" s="87"/>
      <c r="G26" s="87"/>
      <c r="H26" s="87"/>
    </row>
    <row r="27" spans="1:9" s="118" customFormat="1" x14ac:dyDescent="0.25">
      <c r="B27" s="27" t="s">
        <v>86</v>
      </c>
      <c r="C27" s="27"/>
      <c r="D27" s="27"/>
      <c r="E27" s="28">
        <f>SUM(E23:E25)</f>
        <v>569084</v>
      </c>
      <c r="F27" s="28">
        <f t="shared" ref="F27:G27" si="6">SUM(F23:F25)</f>
        <v>2185807</v>
      </c>
      <c r="G27" s="28">
        <f t="shared" si="6"/>
        <v>9244478</v>
      </c>
      <c r="H27" s="28">
        <f>SUM(H23:H25)</f>
        <v>18149956</v>
      </c>
      <c r="I27" s="73"/>
    </row>
    <row r="28" spans="1:9" s="118" customFormat="1" x14ac:dyDescent="0.25">
      <c r="E28" s="87"/>
      <c r="F28" s="87"/>
      <c r="G28" s="87"/>
      <c r="H28" s="87"/>
    </row>
    <row r="30" spans="1:9" x14ac:dyDescent="0.25">
      <c r="A30" s="106" t="s">
        <v>360</v>
      </c>
    </row>
    <row r="31" spans="1:9" s="118" customFormat="1" x14ac:dyDescent="0.25">
      <c r="A31" s="106"/>
      <c r="B31" s="118" t="s">
        <v>530</v>
      </c>
      <c r="E31" s="87">
        <f>E27+E20</f>
        <v>2018985.5748031496</v>
      </c>
      <c r="F31" s="87">
        <f t="shared" ref="F31:H31" si="7">F27+F20</f>
        <v>16684822.748031495</v>
      </c>
      <c r="G31" s="87">
        <f t="shared" si="7"/>
        <v>81739556.740157485</v>
      </c>
      <c r="H31" s="87">
        <f t="shared" si="7"/>
        <v>163140113.48031497</v>
      </c>
    </row>
    <row r="32" spans="1:9" x14ac:dyDescent="0.25">
      <c r="B32" t="s">
        <v>529</v>
      </c>
      <c r="E32" s="221">
        <v>0.1</v>
      </c>
      <c r="F32" s="221">
        <v>0.1</v>
      </c>
      <c r="G32" s="221">
        <v>0.1</v>
      </c>
      <c r="H32" s="221">
        <v>0.1</v>
      </c>
    </row>
    <row r="34" spans="1:14" x14ac:dyDescent="0.25">
      <c r="B34" s="27" t="s">
        <v>86</v>
      </c>
      <c r="C34" s="27"/>
      <c r="D34" s="27"/>
      <c r="E34" s="28">
        <f>E32*E31</f>
        <v>201898.55748031498</v>
      </c>
      <c r="F34" s="28">
        <f t="shared" ref="F34:H34" si="8">F32*F31</f>
        <v>1668482.2748031495</v>
      </c>
      <c r="G34" s="28">
        <f t="shared" si="8"/>
        <v>8173955.6740157492</v>
      </c>
      <c r="H34" s="28">
        <f t="shared" si="8"/>
        <v>16314011.348031498</v>
      </c>
    </row>
    <row r="36" spans="1:14" s="504" customFormat="1" x14ac:dyDescent="0.25">
      <c r="A36" s="393" t="s">
        <v>501</v>
      </c>
    </row>
    <row r="37" spans="1:14" s="504" customFormat="1" x14ac:dyDescent="0.25">
      <c r="A37" s="504" t="s">
        <v>20</v>
      </c>
      <c r="B37" s="504" t="s">
        <v>721</v>
      </c>
    </row>
    <row r="38" spans="1:14" s="504" customFormat="1" x14ac:dyDescent="0.25">
      <c r="A38" s="504" t="s">
        <v>22</v>
      </c>
      <c r="B38" s="504" t="s">
        <v>721</v>
      </c>
    </row>
    <row r="39" spans="1:14" s="504" customFormat="1" x14ac:dyDescent="0.25">
      <c r="A39" s="504" t="s">
        <v>24</v>
      </c>
      <c r="B39" s="504" t="s">
        <v>722</v>
      </c>
    </row>
    <row r="40" spans="1:14" s="504" customFormat="1" x14ac:dyDescent="0.25"/>
    <row r="41" spans="1:14" s="504" customFormat="1" x14ac:dyDescent="0.25">
      <c r="A41" s="393" t="s">
        <v>716</v>
      </c>
    </row>
    <row r="42" spans="1:14" s="504" customFormat="1" x14ac:dyDescent="0.25">
      <c r="A42" s="504" t="s">
        <v>20</v>
      </c>
      <c r="B42" s="504" t="s">
        <v>723</v>
      </c>
      <c r="N42" s="394"/>
    </row>
    <row r="43" spans="1:14" s="504" customFormat="1" x14ac:dyDescent="0.25">
      <c r="A43" s="504" t="s">
        <v>22</v>
      </c>
      <c r="B43" s="504" t="s">
        <v>723</v>
      </c>
    </row>
    <row r="44" spans="1:14" s="504" customFormat="1" x14ac:dyDescent="0.25">
      <c r="A44" s="504" t="s">
        <v>24</v>
      </c>
      <c r="B44" s="504" t="s">
        <v>724</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81"/>
  <sheetViews>
    <sheetView zoomScale="70" zoomScaleNormal="70" workbookViewId="0">
      <selection activeCell="E62" sqref="E62"/>
    </sheetView>
  </sheetViews>
  <sheetFormatPr defaultColWidth="9.109375" defaultRowHeight="14.4" x14ac:dyDescent="0.3"/>
  <cols>
    <col min="1" max="1" width="7.109375" style="17" customWidth="1"/>
    <col min="2" max="2" width="3.5546875" style="17" customWidth="1"/>
    <col min="3" max="3" width="7.109375" style="17" customWidth="1"/>
    <col min="4" max="4" width="40.6640625" style="17" bestFit="1" customWidth="1"/>
    <col min="5" max="5" width="15.109375" style="17" bestFit="1" customWidth="1"/>
    <col min="6" max="6" width="17.88671875" style="17" customWidth="1"/>
    <col min="7" max="8" width="16.33203125" style="17" bestFit="1" customWidth="1"/>
    <col min="9" max="9" width="17.109375" style="17" bestFit="1" customWidth="1"/>
    <col min="10" max="10" width="12" style="17" customWidth="1"/>
    <col min="11" max="11" width="11.88671875" style="17" customWidth="1"/>
    <col min="12" max="12" width="16.33203125" style="17" bestFit="1" customWidth="1"/>
    <col min="13" max="13" width="10.5546875" style="17" customWidth="1"/>
    <col min="14" max="15" width="9.109375" style="17"/>
    <col min="16" max="17" width="8.88671875" customWidth="1"/>
    <col min="18" max="16384" width="9.109375" style="17"/>
  </cols>
  <sheetData>
    <row r="1" spans="1:17" ht="15" x14ac:dyDescent="0.25">
      <c r="A1" s="20"/>
      <c r="P1" s="17"/>
      <c r="Q1" s="17"/>
    </row>
    <row r="2" spans="1:17" ht="15" x14ac:dyDescent="0.25">
      <c r="A2" s="20"/>
      <c r="P2" s="17"/>
      <c r="Q2" s="17"/>
    </row>
    <row r="3" spans="1:17" ht="15" x14ac:dyDescent="0.25">
      <c r="A3" s="18" t="s">
        <v>253</v>
      </c>
      <c r="E3" s="17">
        <v>1</v>
      </c>
      <c r="F3" s="17">
        <v>10</v>
      </c>
      <c r="G3" s="17">
        <v>50</v>
      </c>
      <c r="H3" s="17">
        <v>100</v>
      </c>
      <c r="I3" s="17" t="s">
        <v>255</v>
      </c>
      <c r="P3" s="17"/>
      <c r="Q3" s="17"/>
    </row>
    <row r="4" spans="1:17" ht="15" x14ac:dyDescent="0.25">
      <c r="A4" s="20"/>
      <c r="B4" s="17" t="s">
        <v>30</v>
      </c>
      <c r="D4" s="17" t="str">
        <f>B14</f>
        <v>Wing</v>
      </c>
      <c r="E4" s="228">
        <f>F21</f>
        <v>5786718.8420737926</v>
      </c>
      <c r="F4" s="228">
        <f t="shared" ref="F4:H4" si="0">G21</f>
        <v>38221484.609232239</v>
      </c>
      <c r="G4" s="228">
        <f t="shared" si="0"/>
        <v>162711577.72185919</v>
      </c>
      <c r="H4" s="228">
        <f t="shared" si="0"/>
        <v>310252652.560601</v>
      </c>
      <c r="I4" s="104">
        <f>E23</f>
        <v>1170.6500000000001</v>
      </c>
      <c r="P4" s="17"/>
      <c r="Q4" s="17"/>
    </row>
    <row r="5" spans="1:17" ht="15" x14ac:dyDescent="0.25">
      <c r="A5" s="20"/>
      <c r="B5" s="17" t="s">
        <v>31</v>
      </c>
      <c r="D5" s="113" t="str">
        <f>B27</f>
        <v>PTO and Power Electronics Nacelle</v>
      </c>
      <c r="E5" s="228">
        <f>F34</f>
        <v>699885.42026250775</v>
      </c>
      <c r="F5" s="228">
        <f t="shared" ref="F5:H5" si="1">G34</f>
        <v>4571314.5696102027</v>
      </c>
      <c r="G5" s="228">
        <f t="shared" si="1"/>
        <v>19259736.006109957</v>
      </c>
      <c r="H5" s="228">
        <f t="shared" si="1"/>
        <v>36522329.772884488</v>
      </c>
      <c r="I5" s="104">
        <f>E36</f>
        <v>118.77</v>
      </c>
      <c r="P5" s="17"/>
      <c r="Q5" s="17"/>
    </row>
    <row r="6" spans="1:17" ht="15" x14ac:dyDescent="0.25">
      <c r="A6" s="20"/>
      <c r="B6" s="17" t="s">
        <v>32</v>
      </c>
      <c r="D6" s="113" t="str">
        <f>B39</f>
        <v>Fairing</v>
      </c>
      <c r="E6" s="228">
        <f>F46</f>
        <v>725727.00105530967</v>
      </c>
      <c r="F6" s="228">
        <f t="shared" ref="F6:H6" si="2">G46</f>
        <v>5052853.3101844387</v>
      </c>
      <c r="G6" s="228">
        <f t="shared" si="2"/>
        <v>22267609.408529282</v>
      </c>
      <c r="H6" s="228">
        <f t="shared" si="2"/>
        <v>43186946.869545519</v>
      </c>
      <c r="I6" s="104">
        <f>E48</f>
        <v>176.83</v>
      </c>
      <c r="P6" s="17"/>
      <c r="Q6" s="17"/>
    </row>
    <row r="7" spans="1:17" ht="15" x14ac:dyDescent="0.25">
      <c r="A7" s="20"/>
      <c r="B7" s="17" t="s">
        <v>33</v>
      </c>
      <c r="D7" s="113" t="str">
        <f>B51</f>
        <v>Device Access (Railings, Ladders, etc)</v>
      </c>
      <c r="E7" s="228">
        <f>F56</f>
        <v>721233.12633916107</v>
      </c>
      <c r="F7" s="228">
        <f t="shared" ref="F7:H7" si="3">G56</f>
        <v>4798350.3307936005</v>
      </c>
      <c r="G7" s="228">
        <f t="shared" si="3"/>
        <v>20470807.842346847</v>
      </c>
      <c r="H7" s="228">
        <f t="shared" si="3"/>
        <v>39078705.417463124</v>
      </c>
      <c r="I7" s="104">
        <f>E58</f>
        <v>73.3125</v>
      </c>
      <c r="P7" s="17"/>
      <c r="Q7" s="17"/>
    </row>
    <row r="8" spans="1:17" ht="15" x14ac:dyDescent="0.25">
      <c r="A8" s="20"/>
      <c r="B8" s="17" t="s">
        <v>76</v>
      </c>
      <c r="D8" s="113" t="str">
        <f>B61</f>
        <v>Buoyancy Tank</v>
      </c>
      <c r="E8" s="228">
        <f>F68</f>
        <v>922455.26107156975</v>
      </c>
      <c r="F8" s="228">
        <f t="shared" ref="F8:H8" si="4">G68</f>
        <v>5937406.1134416591</v>
      </c>
      <c r="G8" s="228">
        <f t="shared" si="4"/>
        <v>24765663.747640252</v>
      </c>
      <c r="H8" s="228">
        <f t="shared" si="4"/>
        <v>46722207.572585166</v>
      </c>
      <c r="I8" s="104">
        <f>E70</f>
        <v>149.74</v>
      </c>
      <c r="P8" s="17"/>
      <c r="Q8" s="17"/>
    </row>
    <row r="9" spans="1:17" ht="15" x14ac:dyDescent="0.25">
      <c r="A9" s="20"/>
      <c r="E9" s="223"/>
      <c r="F9" s="223"/>
      <c r="G9" s="223"/>
      <c r="H9" s="223"/>
      <c r="P9" s="17"/>
      <c r="Q9" s="17"/>
    </row>
    <row r="10" spans="1:17" ht="15" x14ac:dyDescent="0.25">
      <c r="A10" s="20"/>
      <c r="C10" s="27" t="s">
        <v>86</v>
      </c>
      <c r="D10" s="27"/>
      <c r="E10" s="225">
        <f>SUM(E4:E8)</f>
        <v>8856019.6508023404</v>
      </c>
      <c r="F10" s="225">
        <f t="shared" ref="F10:H10" si="5">SUM(F4:F8)</f>
        <v>58581408.93326214</v>
      </c>
      <c r="G10" s="225">
        <f t="shared" si="5"/>
        <v>249475394.72648552</v>
      </c>
      <c r="H10" s="225">
        <f t="shared" si="5"/>
        <v>475762842.19307929</v>
      </c>
      <c r="I10" s="29">
        <f>SUM(I4:I8)</f>
        <v>1689.3025</v>
      </c>
      <c r="P10" s="17"/>
      <c r="Q10" s="17"/>
    </row>
    <row r="11" spans="1:17" ht="15" x14ac:dyDescent="0.25">
      <c r="B11" s="20"/>
      <c r="E11" s="111"/>
      <c r="F11" s="111"/>
      <c r="G11" s="111"/>
      <c r="H11" s="111"/>
      <c r="P11" s="17"/>
      <c r="Q11" s="17"/>
    </row>
    <row r="12" spans="1:17" ht="15" x14ac:dyDescent="0.25">
      <c r="F12" s="112"/>
      <c r="G12" s="112"/>
      <c r="P12" s="17"/>
      <c r="Q12" s="17"/>
    </row>
    <row r="13" spans="1:17" s="21" customFormat="1" ht="15" x14ac:dyDescent="0.25">
      <c r="C13" s="72"/>
      <c r="F13" s="69"/>
      <c r="G13" s="69"/>
      <c r="H13" s="69"/>
      <c r="I13" s="71"/>
      <c r="J13" s="69"/>
      <c r="K13" s="73"/>
      <c r="L13" s="70"/>
      <c r="M13" s="71"/>
    </row>
    <row r="14" spans="1:17" s="21" customFormat="1" ht="15" x14ac:dyDescent="0.25">
      <c r="A14" s="74" t="s">
        <v>30</v>
      </c>
      <c r="B14" s="74" t="s">
        <v>294</v>
      </c>
    </row>
    <row r="15" spans="1:17" ht="15" x14ac:dyDescent="0.25">
      <c r="F15" s="148" t="s">
        <v>155</v>
      </c>
      <c r="G15" s="148" t="s">
        <v>247</v>
      </c>
      <c r="H15" s="148" t="s">
        <v>249</v>
      </c>
      <c r="I15" s="148" t="s">
        <v>248</v>
      </c>
      <c r="P15" s="17"/>
      <c r="Q15" s="17"/>
    </row>
    <row r="16" spans="1:17" ht="15" x14ac:dyDescent="0.25">
      <c r="C16" s="17" t="s">
        <v>295</v>
      </c>
      <c r="F16" s="534">
        <v>2059735.688899823</v>
      </c>
      <c r="G16" s="535">
        <v>17370443.726589072</v>
      </c>
      <c r="H16" s="535">
        <v>82389427.555992916</v>
      </c>
      <c r="I16" s="535">
        <v>164778855.11198583</v>
      </c>
      <c r="J16" s="23"/>
      <c r="K16" s="112"/>
      <c r="L16" s="112"/>
      <c r="M16" s="112"/>
      <c r="P16" s="17"/>
      <c r="Q16" s="17"/>
    </row>
    <row r="17" spans="1:17" ht="15" x14ac:dyDescent="0.25">
      <c r="C17" s="17" t="s">
        <v>296</v>
      </c>
      <c r="F17" s="535">
        <v>2344257.120867427</v>
      </c>
      <c r="G17" s="535">
        <v>16519699.780594951</v>
      </c>
      <c r="H17" s="535">
        <v>64673527.871761031</v>
      </c>
      <c r="I17" s="535">
        <v>116412350.16916983</v>
      </c>
      <c r="J17" s="23"/>
      <c r="K17" s="112"/>
      <c r="L17" s="112"/>
      <c r="M17" s="112"/>
      <c r="P17" s="17"/>
      <c r="Q17" s="17"/>
    </row>
    <row r="18" spans="1:17" s="118" customFormat="1" ht="15" x14ac:dyDescent="0.25">
      <c r="C18" s="118" t="s">
        <v>535</v>
      </c>
      <c r="F18" s="535">
        <v>856660.6830271068</v>
      </c>
      <c r="G18" s="535">
        <v>856660.6830271068</v>
      </c>
      <c r="H18" s="535">
        <v>856660.6830271068</v>
      </c>
      <c r="I18" s="535">
        <v>856660.6830271068</v>
      </c>
      <c r="J18" s="87"/>
      <c r="K18" s="112"/>
      <c r="L18" s="112"/>
      <c r="M18" s="112"/>
    </row>
    <row r="19" spans="1:17" ht="15" x14ac:dyDescent="0.25">
      <c r="C19" s="22" t="s">
        <v>256</v>
      </c>
      <c r="D19" s="21"/>
      <c r="E19" s="21"/>
      <c r="F19" s="535">
        <v>526065.3492794357</v>
      </c>
      <c r="G19" s="535">
        <v>3474680.4190211133</v>
      </c>
      <c r="H19" s="535">
        <v>14791961.611078106</v>
      </c>
      <c r="I19" s="535">
        <v>28204786.596418284</v>
      </c>
      <c r="J19" s="23"/>
      <c r="K19" s="112"/>
      <c r="L19" s="112"/>
      <c r="M19" s="112"/>
      <c r="P19" s="17"/>
      <c r="Q19" s="17"/>
    </row>
    <row r="20" spans="1:17" s="118" customFormat="1" ht="15" x14ac:dyDescent="0.25">
      <c r="C20" s="109"/>
      <c r="D20" s="114"/>
      <c r="E20" s="114"/>
      <c r="F20" s="389"/>
      <c r="G20" s="374"/>
      <c r="H20" s="374"/>
      <c r="I20" s="374"/>
      <c r="J20" s="87"/>
    </row>
    <row r="21" spans="1:17" s="107" customFormat="1" ht="15" x14ac:dyDescent="0.25">
      <c r="C21" s="227" t="s">
        <v>86</v>
      </c>
      <c r="D21" s="60"/>
      <c r="E21" s="60"/>
      <c r="F21" s="225">
        <f>SUM(F16:F19)</f>
        <v>5786718.8420737926</v>
      </c>
      <c r="G21" s="225">
        <f t="shared" ref="G21:I21" si="6">SUM(G16:G19)</f>
        <v>38221484.609232239</v>
      </c>
      <c r="H21" s="225">
        <f t="shared" si="6"/>
        <v>162711577.72185919</v>
      </c>
      <c r="I21" s="225">
        <f t="shared" si="6"/>
        <v>310252652.560601</v>
      </c>
      <c r="J21" s="226"/>
    </row>
    <row r="22" spans="1:17" ht="15" x14ac:dyDescent="0.25">
      <c r="C22" s="22"/>
      <c r="D22" s="21"/>
      <c r="E22" s="21"/>
      <c r="F22" s="75"/>
      <c r="G22" s="70"/>
      <c r="H22" s="70"/>
      <c r="I22" s="70"/>
      <c r="J22" s="23"/>
      <c r="P22" s="17"/>
      <c r="Q22" s="17"/>
    </row>
    <row r="23" spans="1:17" ht="15" x14ac:dyDescent="0.25">
      <c r="C23" s="22" t="s">
        <v>257</v>
      </c>
      <c r="D23" s="21"/>
      <c r="E23" s="63">
        <v>1170.6500000000001</v>
      </c>
      <c r="F23" s="75" t="s">
        <v>534</v>
      </c>
      <c r="G23" s="70"/>
      <c r="H23" s="70"/>
      <c r="I23" s="70"/>
      <c r="J23" s="23"/>
      <c r="P23" s="17"/>
      <c r="Q23" s="17"/>
    </row>
    <row r="24" spans="1:17" ht="15" x14ac:dyDescent="0.25">
      <c r="C24" s="22"/>
      <c r="F24" s="77"/>
      <c r="P24" s="17"/>
      <c r="Q24" s="17"/>
    </row>
    <row r="25" spans="1:17" ht="15" x14ac:dyDescent="0.25">
      <c r="C25" s="22"/>
      <c r="P25" s="17"/>
      <c r="Q25" s="17"/>
    </row>
    <row r="26" spans="1:17" ht="15" x14ac:dyDescent="0.25">
      <c r="P26" s="17"/>
      <c r="Q26" s="17"/>
    </row>
    <row r="27" spans="1:17" ht="15" x14ac:dyDescent="0.25">
      <c r="A27" s="18" t="s">
        <v>31</v>
      </c>
      <c r="B27" s="74" t="s">
        <v>322</v>
      </c>
      <c r="P27" s="17"/>
      <c r="Q27" s="17"/>
    </row>
    <row r="28" spans="1:17" ht="15" x14ac:dyDescent="0.25">
      <c r="F28" s="148" t="s">
        <v>155</v>
      </c>
      <c r="G28" s="148" t="s">
        <v>247</v>
      </c>
      <c r="H28" s="148" t="s">
        <v>249</v>
      </c>
      <c r="I28" s="148" t="s">
        <v>248</v>
      </c>
      <c r="P28" s="17"/>
      <c r="Q28" s="17"/>
    </row>
    <row r="29" spans="1:17" ht="15" x14ac:dyDescent="0.25">
      <c r="C29" s="17" t="s">
        <v>297</v>
      </c>
      <c r="F29" s="373">
        <v>221269.34977893441</v>
      </c>
      <c r="G29" s="373">
        <v>1866038.83666594</v>
      </c>
      <c r="H29" s="373">
        <v>8850773.9911573771</v>
      </c>
      <c r="I29" s="373">
        <v>17701547.982314754</v>
      </c>
      <c r="J29" s="23"/>
      <c r="K29" s="112"/>
      <c r="L29" s="112"/>
      <c r="M29" s="112"/>
      <c r="P29" s="17"/>
      <c r="Q29" s="17"/>
    </row>
    <row r="30" spans="1:17" ht="15.75" customHeight="1" x14ac:dyDescent="0.25">
      <c r="C30" s="17" t="s">
        <v>296</v>
      </c>
      <c r="F30" s="373">
        <v>310029.5366323854</v>
      </c>
      <c r="G30" s="373">
        <v>2184741.0946069211</v>
      </c>
      <c r="H30" s="373">
        <v>8553116.3369334377</v>
      </c>
      <c r="I30" s="373">
        <v>15395609.406480184</v>
      </c>
      <c r="J30" s="23"/>
      <c r="K30" s="112"/>
      <c r="L30" s="112"/>
      <c r="M30" s="112"/>
      <c r="P30" s="17"/>
      <c r="Q30" s="17"/>
    </row>
    <row r="31" spans="1:17" s="118" customFormat="1" ht="15.75" customHeight="1" x14ac:dyDescent="0.25">
      <c r="C31" s="118" t="s">
        <v>536</v>
      </c>
      <c r="F31" s="373">
        <v>104960.58655459638</v>
      </c>
      <c r="G31" s="373">
        <v>104960.58655459638</v>
      </c>
      <c r="H31" s="373">
        <v>104960.58655459638</v>
      </c>
      <c r="I31" s="373">
        <v>104960.58655459638</v>
      </c>
      <c r="J31" s="87"/>
      <c r="K31" s="112"/>
      <c r="L31" s="112"/>
      <c r="M31" s="112"/>
    </row>
    <row r="32" spans="1:17" ht="15" x14ac:dyDescent="0.25">
      <c r="C32" s="17" t="s">
        <v>256</v>
      </c>
      <c r="F32" s="373">
        <v>63625.947296591621</v>
      </c>
      <c r="G32" s="373">
        <v>415574.05178274523</v>
      </c>
      <c r="H32" s="373">
        <v>1750885.0914645409</v>
      </c>
      <c r="I32" s="373">
        <v>3320211.7975349529</v>
      </c>
      <c r="J32" s="23"/>
      <c r="K32" s="112"/>
      <c r="L32" s="112"/>
      <c r="M32" s="112"/>
    </row>
    <row r="33" spans="1:17" s="118" customFormat="1" ht="15" x14ac:dyDescent="0.25">
      <c r="F33" s="388"/>
      <c r="G33" s="388"/>
      <c r="H33" s="388"/>
      <c r="I33" s="388"/>
      <c r="J33" s="87"/>
    </row>
    <row r="34" spans="1:17" s="107" customFormat="1" ht="15" x14ac:dyDescent="0.25">
      <c r="C34" s="60" t="s">
        <v>86</v>
      </c>
      <c r="D34" s="60"/>
      <c r="E34" s="60"/>
      <c r="F34" s="218">
        <f>SUM(F29:F32)</f>
        <v>699885.42026250775</v>
      </c>
      <c r="G34" s="218">
        <f t="shared" ref="G34:I34" si="7">SUM(G29:G32)</f>
        <v>4571314.5696102027</v>
      </c>
      <c r="H34" s="218">
        <f t="shared" si="7"/>
        <v>19259736.006109957</v>
      </c>
      <c r="I34" s="218">
        <f t="shared" si="7"/>
        <v>36522329.772884488</v>
      </c>
      <c r="J34" s="226"/>
    </row>
    <row r="35" spans="1:17" s="118" customFormat="1" ht="15" x14ac:dyDescent="0.25">
      <c r="C35" s="72" t="s">
        <v>665</v>
      </c>
      <c r="F35" s="392">
        <f>F34/$E$36</f>
        <v>5892.7794919803637</v>
      </c>
      <c r="G35" s="392">
        <f>G34/$E$36/F3</f>
        <v>3848.8798262273326</v>
      </c>
      <c r="H35" s="392">
        <f t="shared" ref="H35:I35" si="8">H34/$E$36/G3</f>
        <v>3243.1987886014913</v>
      </c>
      <c r="I35" s="392">
        <f t="shared" si="8"/>
        <v>3075.046709849667</v>
      </c>
      <c r="J35" s="87"/>
    </row>
    <row r="36" spans="1:17" ht="15" x14ac:dyDescent="0.25">
      <c r="C36" s="22" t="s">
        <v>257</v>
      </c>
      <c r="D36" s="21"/>
      <c r="E36" s="134">
        <v>118.77</v>
      </c>
      <c r="F36" s="69" t="s">
        <v>534</v>
      </c>
      <c r="G36" s="69"/>
      <c r="H36" s="69"/>
      <c r="I36" s="71"/>
      <c r="J36" s="23"/>
      <c r="P36" s="17"/>
      <c r="Q36" s="17"/>
    </row>
    <row r="37" spans="1:17" ht="15" x14ac:dyDescent="0.25">
      <c r="C37" s="22"/>
      <c r="D37" s="21"/>
      <c r="E37" s="21"/>
      <c r="F37" s="76"/>
      <c r="G37" s="69"/>
      <c r="H37" s="69"/>
      <c r="I37" s="69"/>
      <c r="J37" s="23"/>
      <c r="P37" s="17"/>
      <c r="Q37" s="17"/>
    </row>
    <row r="39" spans="1:17" ht="15" x14ac:dyDescent="0.25">
      <c r="A39" s="18" t="s">
        <v>32</v>
      </c>
      <c r="B39" s="74" t="s">
        <v>323</v>
      </c>
    </row>
    <row r="40" spans="1:17" ht="15" x14ac:dyDescent="0.25">
      <c r="F40" s="148" t="s">
        <v>155</v>
      </c>
      <c r="G40" s="148" t="s">
        <v>247</v>
      </c>
      <c r="H40" s="148" t="s">
        <v>249</v>
      </c>
      <c r="I40" s="148" t="s">
        <v>248</v>
      </c>
    </row>
    <row r="41" spans="1:17" ht="15" x14ac:dyDescent="0.25">
      <c r="C41" s="17" t="s">
        <v>295</v>
      </c>
      <c r="F41" s="373">
        <v>362092.48689732689</v>
      </c>
      <c r="G41" s="373">
        <v>3053647.708959328</v>
      </c>
      <c r="H41" s="373">
        <v>14483699.475893077</v>
      </c>
      <c r="I41" s="373">
        <v>28967398.951786153</v>
      </c>
      <c r="K41" s="112"/>
      <c r="L41" s="112"/>
      <c r="M41" s="112"/>
    </row>
    <row r="42" spans="1:17" ht="15" x14ac:dyDescent="0.25">
      <c r="C42" s="17" t="s">
        <v>296</v>
      </c>
      <c r="F42" s="373">
        <v>205427.57030789097</v>
      </c>
      <c r="G42" s="373">
        <v>1447623.53836328</v>
      </c>
      <c r="H42" s="373">
        <v>5667350.0426521143</v>
      </c>
      <c r="I42" s="373">
        <v>10201230.076773804</v>
      </c>
      <c r="K42" s="112"/>
      <c r="L42" s="112"/>
      <c r="M42" s="112"/>
    </row>
    <row r="43" spans="1:17" s="118" customFormat="1" ht="15" x14ac:dyDescent="0.25">
      <c r="C43" s="118" t="s">
        <v>537</v>
      </c>
      <c r="F43" s="373">
        <v>92231.76193597274</v>
      </c>
      <c r="G43" s="373">
        <v>92231.761935972754</v>
      </c>
      <c r="H43" s="373">
        <v>92231.761935972754</v>
      </c>
      <c r="I43" s="373">
        <v>92231.761935972754</v>
      </c>
      <c r="K43" s="112"/>
      <c r="L43" s="112"/>
      <c r="M43" s="112"/>
    </row>
    <row r="44" spans="1:17" ht="15" x14ac:dyDescent="0.25">
      <c r="C44" s="21" t="s">
        <v>256</v>
      </c>
      <c r="D44" s="21"/>
      <c r="E44" s="21"/>
      <c r="F44" s="373">
        <v>65975.181914119064</v>
      </c>
      <c r="G44" s="373">
        <v>459350.3009258582</v>
      </c>
      <c r="H44" s="373">
        <v>2024328.1280481166</v>
      </c>
      <c r="I44" s="373">
        <v>3926086.0790495928</v>
      </c>
      <c r="K44" s="112"/>
      <c r="L44" s="112"/>
      <c r="M44" s="112"/>
    </row>
    <row r="45" spans="1:17" s="118" customFormat="1" ht="15" x14ac:dyDescent="0.25">
      <c r="C45" s="114"/>
      <c r="D45" s="114"/>
      <c r="E45" s="114"/>
      <c r="F45" s="375"/>
      <c r="G45" s="375"/>
      <c r="H45" s="375"/>
      <c r="I45" s="375"/>
    </row>
    <row r="46" spans="1:17" s="107" customFormat="1" ht="15" x14ac:dyDescent="0.25">
      <c r="C46" s="227" t="s">
        <v>86</v>
      </c>
      <c r="D46" s="60"/>
      <c r="E46" s="60"/>
      <c r="F46" s="229">
        <f>SUM(F41:F44)</f>
        <v>725727.00105530967</v>
      </c>
      <c r="G46" s="229">
        <f t="shared" ref="G46:I46" si="9">SUM(G41:G44)</f>
        <v>5052853.3101844387</v>
      </c>
      <c r="H46" s="229">
        <f t="shared" si="9"/>
        <v>22267609.408529282</v>
      </c>
      <c r="I46" s="229">
        <f t="shared" si="9"/>
        <v>43186946.869545519</v>
      </c>
    </row>
    <row r="47" spans="1:17" ht="15" x14ac:dyDescent="0.25">
      <c r="C47" s="72" t="s">
        <v>665</v>
      </c>
      <c r="D47" s="21"/>
      <c r="E47" s="21"/>
      <c r="F47" s="69">
        <f>F46/$E$48/E3</f>
        <v>4104.0943338534726</v>
      </c>
      <c r="G47" s="408">
        <f t="shared" ref="G47:I47" si="10">G46/$E$48/F3</f>
        <v>2857.4638410815123</v>
      </c>
      <c r="H47" s="408">
        <f t="shared" si="10"/>
        <v>2518.5329874488807</v>
      </c>
      <c r="I47" s="408">
        <f t="shared" si="10"/>
        <v>2442.2861997141613</v>
      </c>
    </row>
    <row r="48" spans="1:17" ht="15" x14ac:dyDescent="0.25">
      <c r="C48" s="22" t="s">
        <v>257</v>
      </c>
      <c r="D48" s="21"/>
      <c r="E48" s="134">
        <v>176.83</v>
      </c>
      <c r="F48" s="63" t="s">
        <v>534</v>
      </c>
      <c r="G48" s="69"/>
      <c r="H48" s="69"/>
      <c r="I48" s="69"/>
      <c r="P48" s="17"/>
      <c r="Q48" s="17"/>
    </row>
    <row r="50" spans="1:13" ht="15" x14ac:dyDescent="0.25">
      <c r="F50" s="19"/>
      <c r="G50" s="19"/>
      <c r="H50" s="19"/>
      <c r="I50" s="19"/>
      <c r="J50" s="19"/>
    </row>
    <row r="51" spans="1:13" ht="15" x14ac:dyDescent="0.25">
      <c r="A51" s="106" t="s">
        <v>33</v>
      </c>
      <c r="B51" s="106" t="s">
        <v>65</v>
      </c>
      <c r="C51" s="113"/>
      <c r="D51" s="113"/>
      <c r="E51" s="113"/>
      <c r="F51" s="113"/>
      <c r="G51" s="113"/>
      <c r="H51" s="113"/>
      <c r="I51" s="113"/>
      <c r="J51" s="23"/>
    </row>
    <row r="52" spans="1:13" ht="15" x14ac:dyDescent="0.25">
      <c r="A52" s="113"/>
      <c r="B52" s="113"/>
      <c r="C52" s="113"/>
      <c r="D52" s="113"/>
      <c r="E52" s="113"/>
      <c r="F52" s="110" t="s">
        <v>155</v>
      </c>
      <c r="G52" s="110" t="s">
        <v>247</v>
      </c>
      <c r="H52" s="110" t="s">
        <v>249</v>
      </c>
      <c r="I52" s="110" t="s">
        <v>248</v>
      </c>
    </row>
    <row r="53" spans="1:13" s="118" customFormat="1" ht="15" x14ac:dyDescent="0.25">
      <c r="C53" s="118" t="s">
        <v>533</v>
      </c>
      <c r="F53" s="228">
        <f>F46+F34+F21</f>
        <v>7212331.2633916102</v>
      </c>
      <c r="G53" s="228">
        <v>47983503.307936005</v>
      </c>
      <c r="H53" s="228">
        <v>204708078.42346847</v>
      </c>
      <c r="I53" s="228">
        <v>390787054.17463124</v>
      </c>
      <c r="K53" s="112"/>
      <c r="L53" s="112"/>
      <c r="M53" s="112"/>
    </row>
    <row r="54" spans="1:13" ht="15" x14ac:dyDescent="0.25">
      <c r="A54" s="113"/>
      <c r="B54" s="113"/>
      <c r="C54" s="113" t="s">
        <v>400</v>
      </c>
      <c r="D54" s="113"/>
      <c r="E54" s="113"/>
      <c r="F54" s="376">
        <v>0.1</v>
      </c>
      <c r="G54" s="376">
        <v>0.1</v>
      </c>
      <c r="H54" s="376">
        <v>0.1</v>
      </c>
      <c r="I54" s="376">
        <v>0.1</v>
      </c>
    </row>
    <row r="55" spans="1:13" s="118" customFormat="1" ht="15" x14ac:dyDescent="0.25">
      <c r="F55" s="224"/>
      <c r="G55" s="224"/>
      <c r="H55" s="224"/>
      <c r="I55" s="224"/>
    </row>
    <row r="56" spans="1:13" s="107" customFormat="1" ht="15" x14ac:dyDescent="0.25">
      <c r="C56" s="227" t="s">
        <v>86</v>
      </c>
      <c r="D56" s="60"/>
      <c r="E56" s="60"/>
      <c r="F56" s="229">
        <f>F54*F53</f>
        <v>721233.12633916107</v>
      </c>
      <c r="G56" s="229">
        <f t="shared" ref="G56:I56" si="11">G54*G53</f>
        <v>4798350.3307936005</v>
      </c>
      <c r="H56" s="229">
        <f t="shared" si="11"/>
        <v>20470807.842346847</v>
      </c>
      <c r="I56" s="229">
        <f t="shared" si="11"/>
        <v>39078705.417463124</v>
      </c>
    </row>
    <row r="57" spans="1:13" ht="15" x14ac:dyDescent="0.25">
      <c r="A57" s="113"/>
      <c r="B57" s="113"/>
      <c r="C57" s="72"/>
      <c r="D57" s="114"/>
      <c r="E57" s="114"/>
      <c r="F57" s="95"/>
      <c r="G57" s="95"/>
      <c r="H57" s="95"/>
      <c r="I57" s="95"/>
    </row>
    <row r="58" spans="1:13" ht="15" x14ac:dyDescent="0.25">
      <c r="A58" s="113"/>
      <c r="B58" s="113"/>
      <c r="C58" s="109" t="s">
        <v>666</v>
      </c>
      <c r="D58" s="114"/>
      <c r="E58" s="134">
        <f>10%*(E48+E36+E23)/2</f>
        <v>73.3125</v>
      </c>
      <c r="F58" s="63" t="s">
        <v>534</v>
      </c>
      <c r="G58" s="95"/>
      <c r="H58" s="95"/>
      <c r="I58" s="95"/>
    </row>
    <row r="61" spans="1:13" x14ac:dyDescent="0.3">
      <c r="A61" s="106" t="s">
        <v>76</v>
      </c>
      <c r="B61" s="106" t="s">
        <v>324</v>
      </c>
      <c r="C61" s="113"/>
      <c r="D61" s="113"/>
      <c r="E61" s="113"/>
      <c r="F61" s="113"/>
      <c r="G61" s="113"/>
      <c r="H61" s="113"/>
      <c r="I61" s="113"/>
    </row>
    <row r="62" spans="1:13" x14ac:dyDescent="0.3">
      <c r="A62" s="113"/>
      <c r="B62" s="113"/>
      <c r="C62" s="113"/>
      <c r="D62" s="113"/>
      <c r="E62" s="113"/>
      <c r="F62" s="148" t="s">
        <v>155</v>
      </c>
      <c r="G62" s="148" t="s">
        <v>247</v>
      </c>
      <c r="H62" s="148" t="s">
        <v>249</v>
      </c>
      <c r="I62" s="148" t="s">
        <v>248</v>
      </c>
    </row>
    <row r="63" spans="1:13" x14ac:dyDescent="0.3">
      <c r="A63" s="113"/>
      <c r="B63" s="113"/>
      <c r="C63" s="113" t="s">
        <v>295</v>
      </c>
      <c r="D63" s="113"/>
      <c r="E63" s="113"/>
      <c r="F63" s="373">
        <v>258018.33899206255</v>
      </c>
      <c r="G63" s="373">
        <v>2175955.4209033204</v>
      </c>
      <c r="H63" s="373">
        <v>10320733.559682503</v>
      </c>
      <c r="I63" s="373">
        <v>20641467.119365007</v>
      </c>
      <c r="K63" s="112"/>
      <c r="L63" s="112"/>
      <c r="M63" s="112"/>
    </row>
    <row r="64" spans="1:13" x14ac:dyDescent="0.3">
      <c r="A64" s="113"/>
      <c r="B64" s="113"/>
      <c r="C64" s="113" t="s">
        <v>296</v>
      </c>
      <c r="D64" s="113"/>
      <c r="E64" s="113"/>
      <c r="F64" s="373">
        <v>436772.17528046615</v>
      </c>
      <c r="G64" s="373">
        <v>3077881.3227965618</v>
      </c>
      <c r="H64" s="373">
        <v>12049701.033288825</v>
      </c>
      <c r="I64" s="373">
        <v>21689461.859919883</v>
      </c>
      <c r="K64" s="112"/>
      <c r="L64" s="112"/>
      <c r="M64" s="112"/>
    </row>
    <row r="65" spans="1:13" s="118" customFormat="1" x14ac:dyDescent="0.3">
      <c r="C65" s="118" t="s">
        <v>536</v>
      </c>
      <c r="F65" s="373">
        <v>143805.17761071652</v>
      </c>
      <c r="G65" s="373">
        <v>143805.17761071652</v>
      </c>
      <c r="H65" s="373">
        <v>143805.17761071652</v>
      </c>
      <c r="I65" s="373">
        <v>143805.17761071652</v>
      </c>
      <c r="K65" s="112"/>
      <c r="L65" s="112"/>
      <c r="M65" s="112"/>
    </row>
    <row r="66" spans="1:13" x14ac:dyDescent="0.3">
      <c r="A66" s="113"/>
      <c r="B66" s="113"/>
      <c r="C66" s="114" t="s">
        <v>256</v>
      </c>
      <c r="D66" s="114"/>
      <c r="E66" s="114"/>
      <c r="F66" s="373">
        <v>83859.569188324531</v>
      </c>
      <c r="G66" s="373">
        <v>539764.19213105983</v>
      </c>
      <c r="H66" s="373">
        <v>2251423.9770582048</v>
      </c>
      <c r="I66" s="373">
        <v>4247473.4156895606</v>
      </c>
      <c r="K66" s="112"/>
      <c r="L66" s="112"/>
      <c r="M66" s="112"/>
    </row>
    <row r="67" spans="1:13" s="118" customFormat="1" x14ac:dyDescent="0.3">
      <c r="C67" s="114"/>
      <c r="D67" s="114"/>
      <c r="E67" s="114"/>
      <c r="F67" s="390"/>
      <c r="G67" s="390"/>
      <c r="H67" s="390"/>
      <c r="I67" s="390"/>
    </row>
    <row r="68" spans="1:13" s="107" customFormat="1" x14ac:dyDescent="0.3">
      <c r="C68" s="227" t="s">
        <v>86</v>
      </c>
      <c r="D68" s="60"/>
      <c r="E68" s="60"/>
      <c r="F68" s="225">
        <f>SUM(F63:F66)</f>
        <v>922455.26107156975</v>
      </c>
      <c r="G68" s="225">
        <f t="shared" ref="G68:I68" si="12">SUM(G63:G66)</f>
        <v>5937406.1134416591</v>
      </c>
      <c r="H68" s="225">
        <f t="shared" si="12"/>
        <v>24765663.747640252</v>
      </c>
      <c r="I68" s="225">
        <f t="shared" si="12"/>
        <v>46722207.572585166</v>
      </c>
    </row>
    <row r="69" spans="1:13" x14ac:dyDescent="0.3">
      <c r="A69" s="113"/>
      <c r="B69" s="113"/>
      <c r="C69" s="72" t="s">
        <v>665</v>
      </c>
      <c r="D69" s="114"/>
      <c r="E69" s="114"/>
      <c r="F69" s="95">
        <f>F68/$E$70/E3</f>
        <v>6160.3797320126196</v>
      </c>
      <c r="G69" s="408">
        <f t="shared" ref="G69:I69" si="13">G68/$E$70/F3</f>
        <v>3965.1436579682509</v>
      </c>
      <c r="H69" s="408">
        <f t="shared" si="13"/>
        <v>3307.8220579190929</v>
      </c>
      <c r="I69" s="408">
        <f t="shared" si="13"/>
        <v>3120.2222233595007</v>
      </c>
    </row>
    <row r="70" spans="1:13" x14ac:dyDescent="0.3">
      <c r="A70" s="113"/>
      <c r="B70" s="113"/>
      <c r="C70" s="109" t="s">
        <v>257</v>
      </c>
      <c r="D70" s="114"/>
      <c r="E70" s="134">
        <v>149.74</v>
      </c>
      <c r="F70" s="63" t="s">
        <v>534</v>
      </c>
      <c r="G70" s="95"/>
      <c r="H70" s="95"/>
      <c r="I70" s="95"/>
    </row>
    <row r="72" spans="1:13" s="504" customFormat="1" x14ac:dyDescent="0.3">
      <c r="A72" s="393" t="s">
        <v>501</v>
      </c>
    </row>
    <row r="73" spans="1:13" s="504" customFormat="1" x14ac:dyDescent="0.3">
      <c r="B73" s="504" t="s">
        <v>725</v>
      </c>
    </row>
    <row r="74" spans="1:13" s="504" customFormat="1" x14ac:dyDescent="0.3">
      <c r="A74" s="504" t="s">
        <v>33</v>
      </c>
      <c r="B74" s="504" t="s">
        <v>726</v>
      </c>
    </row>
    <row r="75" spans="1:13" s="504" customFormat="1" x14ac:dyDescent="0.3"/>
    <row r="76" spans="1:13" s="504" customFormat="1" x14ac:dyDescent="0.3">
      <c r="A76" s="393" t="s">
        <v>716</v>
      </c>
    </row>
    <row r="77" spans="1:13" s="504" customFormat="1" x14ac:dyDescent="0.3">
      <c r="A77" s="504" t="s">
        <v>30</v>
      </c>
      <c r="B77" s="504" t="s">
        <v>727</v>
      </c>
    </row>
    <row r="78" spans="1:13" s="504" customFormat="1" x14ac:dyDescent="0.3">
      <c r="A78" s="504" t="s">
        <v>31</v>
      </c>
      <c r="B78" s="504" t="s">
        <v>727</v>
      </c>
    </row>
    <row r="79" spans="1:13" s="504" customFormat="1" x14ac:dyDescent="0.3">
      <c r="A79" s="504" t="s">
        <v>32</v>
      </c>
      <c r="B79" s="504" t="s">
        <v>727</v>
      </c>
    </row>
    <row r="80" spans="1:13" s="504" customFormat="1" x14ac:dyDescent="0.3">
      <c r="A80" s="504" t="s">
        <v>33</v>
      </c>
      <c r="B80" s="504" t="s">
        <v>728</v>
      </c>
    </row>
    <row r="81" spans="1:2" s="504" customFormat="1" x14ac:dyDescent="0.3">
      <c r="A81" s="504" t="s">
        <v>76</v>
      </c>
      <c r="B81" s="504" t="s">
        <v>727</v>
      </c>
    </row>
  </sheetData>
  <pageMargins left="0.7" right="0.7" top="0.75" bottom="0.75" header="0.3" footer="0.3"/>
  <pageSetup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D81"/>
  <sheetViews>
    <sheetView zoomScale="70" zoomScaleNormal="70" workbookViewId="0">
      <selection activeCell="M74" sqref="M74"/>
    </sheetView>
  </sheetViews>
  <sheetFormatPr defaultColWidth="9.109375" defaultRowHeight="14.4" x14ac:dyDescent="0.3"/>
  <cols>
    <col min="1" max="3" width="4.109375" style="118" customWidth="1"/>
    <col min="4" max="4" width="4.5546875" style="118" customWidth="1"/>
    <col min="5" max="5" width="56.88671875" style="118" customWidth="1"/>
    <col min="6" max="6" width="31.33203125" style="118" customWidth="1"/>
    <col min="7" max="7" width="17.88671875" style="118" customWidth="1"/>
    <col min="8" max="8" width="18.6640625" style="118" customWidth="1"/>
    <col min="9" max="9" width="19.6640625" style="118" customWidth="1"/>
    <col min="10" max="10" width="21.109375" style="118" customWidth="1"/>
    <col min="11" max="11" width="24.109375" style="118" bestFit="1" customWidth="1"/>
    <col min="12" max="13" width="16.6640625" style="118" customWidth="1"/>
    <col min="14" max="17" width="9.109375" style="118"/>
    <col min="18" max="19" width="9" style="118" customWidth="1"/>
    <col min="20" max="20" width="9.109375" style="118"/>
    <col min="21" max="21" width="9.6640625" style="118" customWidth="1"/>
    <col min="22" max="22" width="12.5546875" style="118" customWidth="1"/>
    <col min="23" max="23" width="8.33203125" style="118" customWidth="1"/>
    <col min="24" max="24" width="9.109375" style="118"/>
    <col min="25" max="25" width="17.33203125" style="118" customWidth="1"/>
    <col min="26" max="27" width="9.109375" style="118"/>
    <col min="28" max="28" width="11.6640625" style="118" customWidth="1"/>
    <col min="29" max="16384" width="9.109375" style="118"/>
  </cols>
  <sheetData>
    <row r="3" spans="1:12" ht="15" x14ac:dyDescent="0.25">
      <c r="A3" s="106" t="s">
        <v>253</v>
      </c>
      <c r="F3" s="118" t="s">
        <v>401</v>
      </c>
      <c r="G3" s="118">
        <v>1</v>
      </c>
      <c r="H3" s="118">
        <v>10</v>
      </c>
      <c r="I3" s="118">
        <v>50</v>
      </c>
      <c r="J3" s="118">
        <v>100</v>
      </c>
      <c r="K3" s="118" t="s">
        <v>259</v>
      </c>
      <c r="L3" s="118" t="s">
        <v>420</v>
      </c>
    </row>
    <row r="4" spans="1:12" ht="15" x14ac:dyDescent="0.25">
      <c r="A4" s="106"/>
      <c r="B4" s="547" t="s">
        <v>35</v>
      </c>
      <c r="C4" s="547"/>
      <c r="D4" s="425"/>
      <c r="E4" s="426" t="s">
        <v>36</v>
      </c>
      <c r="F4" s="417">
        <f t="shared" ref="F4:F17" si="0">SUMIF($F$57:$F$72,"="&amp;E4,$I$57:$I$72)</f>
        <v>362215.86847748392</v>
      </c>
      <c r="G4" s="509">
        <f>SUMIF($F$28:$F$52,"="&amp;E4,$I$28:$I$52)</f>
        <v>1416000</v>
      </c>
      <c r="H4" s="509">
        <f t="shared" ref="H4:J17" si="1">$G4*H$3^(LOG10($K4)/LOG10(2))*H$3</f>
        <v>7161687.4391732374</v>
      </c>
      <c r="I4" s="509">
        <f t="shared" si="1"/>
        <v>22236005.464253489</v>
      </c>
      <c r="J4" s="509">
        <f t="shared" si="1"/>
        <v>36221586.847748391</v>
      </c>
      <c r="K4" s="510">
        <f t="shared" ref="K4" si="2">10^(LOG10(F4/G4)*LOG10(2)/LOG10(100))</f>
        <v>0.81448052587453434</v>
      </c>
      <c r="L4" s="511">
        <f t="shared" ref="L4:L17" si="3">SUMIF($F$28:$F$52,"="&amp;E4,$K$28:$K$52)</f>
        <v>20952.38095238095</v>
      </c>
    </row>
    <row r="5" spans="1:12" ht="15" x14ac:dyDescent="0.25">
      <c r="B5" s="547" t="s">
        <v>37</v>
      </c>
      <c r="C5" s="547"/>
      <c r="D5" s="425"/>
      <c r="E5" s="426" t="s">
        <v>74</v>
      </c>
      <c r="F5" s="417">
        <f t="shared" si="0"/>
        <v>2711016.3508610479</v>
      </c>
      <c r="G5" s="509">
        <f>SUMIF($F$28:$F$52,"="&amp;E5,$I$28:$I$52)</f>
        <v>7225650.0531471018</v>
      </c>
      <c r="H5" s="509">
        <f t="shared" si="1"/>
        <v>44259298.954775341</v>
      </c>
      <c r="I5" s="509">
        <f t="shared" si="1"/>
        <v>157102507.56886247</v>
      </c>
      <c r="J5" s="509">
        <f>$G5*J$3^(LOG10($K5)/LOG10(2))*J$3</f>
        <v>271101635.08610457</v>
      </c>
      <c r="K5" s="510">
        <f>10^(LOG10(F5/G5)*LOG10(2)/LOG10(100))</f>
        <v>0.86281765734157068</v>
      </c>
      <c r="L5" s="511">
        <f t="shared" si="3"/>
        <v>321655.32879818592</v>
      </c>
    </row>
    <row r="6" spans="1:12" ht="15" x14ac:dyDescent="0.25">
      <c r="B6" s="398" t="s">
        <v>38</v>
      </c>
      <c r="C6" s="398"/>
      <c r="D6" s="398"/>
      <c r="E6" s="398" t="s">
        <v>40</v>
      </c>
      <c r="F6" s="417">
        <f t="shared" si="0"/>
        <v>66666.666666666672</v>
      </c>
      <c r="G6" s="509">
        <v>93766.666666666686</v>
      </c>
      <c r="H6" s="509">
        <f t="shared" si="1"/>
        <v>790765.83250016486</v>
      </c>
      <c r="I6" s="509">
        <f t="shared" si="1"/>
        <v>3509891.678764076</v>
      </c>
      <c r="J6" s="509">
        <f t="shared" si="1"/>
        <v>6668794.1896517444</v>
      </c>
      <c r="K6" s="510">
        <v>0.95</v>
      </c>
      <c r="L6" s="511">
        <f t="shared" si="3"/>
        <v>0</v>
      </c>
    </row>
    <row r="7" spans="1:12" ht="15" x14ac:dyDescent="0.25">
      <c r="B7" s="398" t="s">
        <v>39</v>
      </c>
      <c r="C7" s="398"/>
      <c r="D7" s="398"/>
      <c r="E7" s="398" t="s">
        <v>41</v>
      </c>
      <c r="F7" s="417">
        <f t="shared" si="0"/>
        <v>428336.49932157394</v>
      </c>
      <c r="G7" s="417">
        <f t="shared" ref="G7:G13" si="4">SUMIF($F$28:$F$52,"="&amp;E7,$I$28:$I$52)</f>
        <v>1000000</v>
      </c>
      <c r="H7" s="417">
        <f t="shared" si="1"/>
        <v>6544742.1593335029</v>
      </c>
      <c r="I7" s="417">
        <f t="shared" si="1"/>
        <v>24331952.207572788</v>
      </c>
      <c r="J7" s="417">
        <f t="shared" si="1"/>
        <v>42833649.932157367</v>
      </c>
      <c r="K7" s="427">
        <f>10^(LOG10(F7/G7)*LOG10(2)/LOG10(100))</f>
        <v>0.88019345029837637</v>
      </c>
      <c r="L7" s="406">
        <f t="shared" si="3"/>
        <v>9037.6417233560096</v>
      </c>
    </row>
    <row r="8" spans="1:12" ht="15" x14ac:dyDescent="0.25">
      <c r="B8" s="398" t="s">
        <v>42</v>
      </c>
      <c r="C8" s="398"/>
      <c r="D8" s="398"/>
      <c r="E8" s="398" t="s">
        <v>43</v>
      </c>
      <c r="F8" s="417">
        <f t="shared" si="0"/>
        <v>622310</v>
      </c>
      <c r="G8" s="417">
        <f t="shared" si="4"/>
        <v>875000</v>
      </c>
      <c r="H8" s="417">
        <f t="shared" si="1"/>
        <v>7379169.2510235766</v>
      </c>
      <c r="I8" s="417">
        <f t="shared" si="1"/>
        <v>32753166.216692846</v>
      </c>
      <c r="J8" s="417">
        <f t="shared" si="1"/>
        <v>62231015.811716408</v>
      </c>
      <c r="K8" s="427">
        <v>0.95</v>
      </c>
      <c r="L8" s="406">
        <f t="shared" si="3"/>
        <v>24943.310657596372</v>
      </c>
    </row>
    <row r="9" spans="1:12" ht="15" x14ac:dyDescent="0.25">
      <c r="B9" s="398" t="s">
        <v>44</v>
      </c>
      <c r="C9" s="398"/>
      <c r="D9" s="398"/>
      <c r="E9" s="398" t="s">
        <v>45</v>
      </c>
      <c r="F9" s="417">
        <f t="shared" si="0"/>
        <v>377738.32960519264</v>
      </c>
      <c r="G9" s="417">
        <f t="shared" si="4"/>
        <v>432000</v>
      </c>
      <c r="H9" s="417">
        <f t="shared" si="1"/>
        <v>4039591.0484780907</v>
      </c>
      <c r="I9" s="417">
        <f t="shared" si="1"/>
        <v>19272363.755366974</v>
      </c>
      <c r="J9" s="417">
        <f t="shared" si="1"/>
        <v>37773832.960519262</v>
      </c>
      <c r="K9" s="427">
        <v>0.98</v>
      </c>
      <c r="L9" s="406">
        <f t="shared" si="3"/>
        <v>0</v>
      </c>
    </row>
    <row r="10" spans="1:12" ht="15" x14ac:dyDescent="0.25">
      <c r="A10" s="37"/>
      <c r="B10" s="403" t="s">
        <v>46</v>
      </c>
      <c r="C10" s="403"/>
      <c r="D10" s="403"/>
      <c r="E10" s="403" t="s">
        <v>47</v>
      </c>
      <c r="F10" s="417">
        <f t="shared" si="0"/>
        <v>0</v>
      </c>
      <c r="G10" s="417">
        <f t="shared" si="4"/>
        <v>0</v>
      </c>
      <c r="H10" s="417">
        <f t="shared" si="1"/>
        <v>0</v>
      </c>
      <c r="I10" s="417">
        <f t="shared" si="1"/>
        <v>0</v>
      </c>
      <c r="J10" s="417">
        <f t="shared" si="1"/>
        <v>0</v>
      </c>
      <c r="K10" s="427">
        <v>0.96699999999999997</v>
      </c>
      <c r="L10" s="406">
        <f t="shared" si="3"/>
        <v>0</v>
      </c>
    </row>
    <row r="11" spans="1:12" ht="15" x14ac:dyDescent="0.25">
      <c r="B11" s="398" t="s">
        <v>48</v>
      </c>
      <c r="C11" s="398"/>
      <c r="D11" s="398"/>
      <c r="E11" s="398" t="s">
        <v>62</v>
      </c>
      <c r="F11" s="417">
        <f t="shared" si="0"/>
        <v>1821576</v>
      </c>
      <c r="G11" s="417">
        <f t="shared" si="4"/>
        <v>2005596</v>
      </c>
      <c r="H11" s="417">
        <f t="shared" si="1"/>
        <v>19113726.84563636</v>
      </c>
      <c r="I11" s="417">
        <f t="shared" si="1"/>
        <v>92407718.694488361</v>
      </c>
      <c r="J11" s="417">
        <f t="shared" si="1"/>
        <v>182157599.99999997</v>
      </c>
      <c r="K11" s="427">
        <f t="shared" ref="K11:K13" si="5">10^(LOG10(F11/G11)*LOG10(2)/LOG10(100))</f>
        <v>0.9856189643758877</v>
      </c>
      <c r="L11" s="406">
        <f t="shared" si="3"/>
        <v>39267.682539682544</v>
      </c>
    </row>
    <row r="12" spans="1:12" ht="15" x14ac:dyDescent="0.25">
      <c r="B12" s="398" t="s">
        <v>63</v>
      </c>
      <c r="C12" s="398"/>
      <c r="D12" s="398"/>
      <c r="E12" s="398" t="s">
        <v>64</v>
      </c>
      <c r="F12" s="417">
        <f t="shared" si="0"/>
        <v>285940.4201145767</v>
      </c>
      <c r="G12" s="417">
        <f t="shared" si="4"/>
        <v>400000</v>
      </c>
      <c r="H12" s="417">
        <f>$G12*H$3^(LOG10($K12)/LOG10(2))*H$3</f>
        <v>3381954.5834595524</v>
      </c>
      <c r="I12" s="417">
        <f t="shared" si="1"/>
        <v>15037938.348065628</v>
      </c>
      <c r="J12" s="417">
        <f t="shared" si="1"/>
        <v>28594042.011457674</v>
      </c>
      <c r="K12" s="427">
        <f t="shared" si="5"/>
        <v>0.95073012502195198</v>
      </c>
      <c r="L12" s="406">
        <f t="shared" si="3"/>
        <v>0</v>
      </c>
    </row>
    <row r="13" spans="1:12" ht="15" x14ac:dyDescent="0.25">
      <c r="B13" s="398" t="s">
        <v>69</v>
      </c>
      <c r="C13" s="398"/>
      <c r="D13" s="398"/>
      <c r="E13" s="398" t="s">
        <v>66</v>
      </c>
      <c r="F13" s="417">
        <f t="shared" si="0"/>
        <v>1793545.8924794821</v>
      </c>
      <c r="G13" s="417">
        <f t="shared" si="4"/>
        <v>2372304</v>
      </c>
      <c r="H13" s="417">
        <f t="shared" si="1"/>
        <v>20627254.04631611</v>
      </c>
      <c r="I13" s="417">
        <f t="shared" si="1"/>
        <v>93532754.790953368</v>
      </c>
      <c r="J13" s="417">
        <f t="shared" si="1"/>
        <v>179354589.24794811</v>
      </c>
      <c r="K13" s="427">
        <f t="shared" si="5"/>
        <v>0.95877957218734455</v>
      </c>
      <c r="L13" s="406">
        <f t="shared" si="3"/>
        <v>73278.784580498861</v>
      </c>
    </row>
    <row r="14" spans="1:12" ht="15" x14ac:dyDescent="0.25">
      <c r="B14" s="403" t="s">
        <v>70</v>
      </c>
      <c r="C14" s="403"/>
      <c r="D14" s="403"/>
      <c r="E14" s="403" t="s">
        <v>67</v>
      </c>
      <c r="F14" s="417">
        <f t="shared" si="0"/>
        <v>0</v>
      </c>
      <c r="G14" s="417">
        <f>10%*(SUM(G4:G13)+SUM(G15:G17))</f>
        <v>1965713.2083166451</v>
      </c>
      <c r="H14" s="417">
        <f t="shared" ref="H14:J14" si="6">10%*(SUM(H4:H13)+SUM(H15:H17))</f>
        <v>13672416.817989716</v>
      </c>
      <c r="I14" s="417">
        <f t="shared" si="6"/>
        <v>54616474.590475112</v>
      </c>
      <c r="J14" s="417">
        <f t="shared" si="6"/>
        <v>99880286.641700208</v>
      </c>
      <c r="K14" s="427">
        <v>0.96699999999999997</v>
      </c>
      <c r="L14" s="406">
        <f t="shared" si="3"/>
        <v>0</v>
      </c>
    </row>
    <row r="15" spans="1:12" ht="15" x14ac:dyDescent="0.25">
      <c r="B15" s="398" t="s">
        <v>71</v>
      </c>
      <c r="C15" s="398"/>
      <c r="D15" s="398"/>
      <c r="E15" s="398" t="s">
        <v>72</v>
      </c>
      <c r="F15" s="417">
        <f t="shared" si="0"/>
        <v>519293.4554891286</v>
      </c>
      <c r="G15" s="417">
        <f>SUMIF($F$28:$F$52,"="&amp;E15,$I$28:$I$52)</f>
        <v>1397172</v>
      </c>
      <c r="H15" s="417">
        <f t="shared" si="1"/>
        <v>8517876.9408383518</v>
      </c>
      <c r="I15" s="417">
        <f t="shared" si="1"/>
        <v>30135595.125324477</v>
      </c>
      <c r="J15" s="417">
        <f t="shared" si="1"/>
        <v>51929345.548912868</v>
      </c>
      <c r="K15" s="427">
        <f t="shared" ref="K15" si="7">10^(LOG10(F15/G15)*LOG10(2)/LOG10(100))</f>
        <v>0.86159482387779363</v>
      </c>
      <c r="L15" s="406">
        <f t="shared" si="3"/>
        <v>73278.911564625843</v>
      </c>
    </row>
    <row r="16" spans="1:12" ht="15" x14ac:dyDescent="0.25">
      <c r="B16" s="398" t="s">
        <v>73</v>
      </c>
      <c r="C16" s="398"/>
      <c r="D16" s="398"/>
      <c r="E16" s="398" t="s">
        <v>402</v>
      </c>
      <c r="F16" s="417">
        <f t="shared" si="0"/>
        <v>697036.49063678167</v>
      </c>
      <c r="G16" s="417">
        <v>980071.27379646187</v>
      </c>
      <c r="H16" s="417">
        <f t="shared" si="1"/>
        <v>8265270.6370404121</v>
      </c>
      <c r="I16" s="417">
        <f t="shared" si="1"/>
        <v>36686214.096984453</v>
      </c>
      <c r="J16" s="417">
        <f t="shared" si="1"/>
        <v>69703806.784270465</v>
      </c>
      <c r="K16" s="427">
        <v>0.95</v>
      </c>
      <c r="L16" s="406">
        <f t="shared" si="3"/>
        <v>111140</v>
      </c>
    </row>
    <row r="17" spans="2:25" ht="15" x14ac:dyDescent="0.25">
      <c r="B17" s="398" t="s">
        <v>403</v>
      </c>
      <c r="C17" s="398"/>
      <c r="D17" s="398"/>
      <c r="E17" s="398" t="s">
        <v>18</v>
      </c>
      <c r="F17" s="417">
        <f t="shared" si="0"/>
        <v>302329.67996515305</v>
      </c>
      <c r="G17" s="417">
        <f>SUMIF($F$28:$F$52,"="&amp;E17,$I$28:$I$52)</f>
        <v>1459572.0895562193</v>
      </c>
      <c r="H17" s="417">
        <f t="shared" si="1"/>
        <v>6642830.441322444</v>
      </c>
      <c r="I17" s="417">
        <f>$G17*I$3^(LOG10($K17)/LOG10(2))*I$3</f>
        <v>19158637.957422193</v>
      </c>
      <c r="J17" s="417">
        <f t="shared" si="1"/>
        <v>30232967.996515293</v>
      </c>
      <c r="K17" s="427">
        <f t="shared" ref="K17" si="8">10^(LOG10(F17/G17)*LOG10(2)/LOG10(100))</f>
        <v>0.78901663217668438</v>
      </c>
      <c r="L17" s="163">
        <f t="shared" si="3"/>
        <v>32673.015873015873</v>
      </c>
      <c r="N17" s="504" t="s">
        <v>714</v>
      </c>
    </row>
    <row r="18" spans="2:25" ht="15" x14ac:dyDescent="0.25">
      <c r="B18" s="398"/>
      <c r="C18" s="398"/>
      <c r="D18" s="398"/>
      <c r="E18" s="398"/>
      <c r="F18" s="428"/>
      <c r="G18" s="428"/>
      <c r="H18" s="428"/>
      <c r="I18" s="428"/>
      <c r="J18" s="428"/>
      <c r="K18" s="398"/>
    </row>
    <row r="19" spans="2:25" ht="15" x14ac:dyDescent="0.25">
      <c r="B19" s="398"/>
      <c r="C19" s="398"/>
      <c r="D19" s="398"/>
      <c r="E19" s="426" t="s">
        <v>85</v>
      </c>
      <c r="F19" s="428"/>
      <c r="G19" s="428">
        <f>SUM(G4:G17)</f>
        <v>21622845.291483097</v>
      </c>
      <c r="H19" s="428">
        <f t="shared" ref="H19:J19" si="9">SUM(H4:H17)</f>
        <v>150396584.99788687</v>
      </c>
      <c r="I19" s="428">
        <f t="shared" si="9"/>
        <v>600781220.49522614</v>
      </c>
      <c r="J19" s="428">
        <f t="shared" si="9"/>
        <v>1098683153.0587022</v>
      </c>
      <c r="K19" s="398"/>
      <c r="L19" s="163"/>
    </row>
    <row r="20" spans="2:25" ht="15" x14ac:dyDescent="0.25">
      <c r="B20" s="136"/>
      <c r="C20" s="136"/>
      <c r="D20" s="136"/>
      <c r="E20" s="137" t="s">
        <v>263</v>
      </c>
      <c r="F20" s="429"/>
      <c r="G20" s="429">
        <f>G19/G3</f>
        <v>21622845.291483097</v>
      </c>
      <c r="H20" s="429">
        <f>H19/H3</f>
        <v>15039658.499788687</v>
      </c>
      <c r="I20" s="429">
        <f>I19/I3</f>
        <v>12015624.409904523</v>
      </c>
      <c r="J20" s="429">
        <f>J19/J3</f>
        <v>10986831.530587023</v>
      </c>
      <c r="K20" s="398"/>
    </row>
    <row r="21" spans="2:25" ht="15" x14ac:dyDescent="0.25">
      <c r="F21" s="87"/>
      <c r="I21" s="91"/>
      <c r="J21" s="87"/>
      <c r="O21" s="109"/>
      <c r="P21" s="109"/>
      <c r="Q21" s="109"/>
      <c r="R21" s="109"/>
      <c r="S21" s="109"/>
      <c r="T21" s="109"/>
      <c r="U21" s="109"/>
      <c r="V21" s="109"/>
      <c r="W21" s="109"/>
      <c r="X21" s="109"/>
      <c r="Y21" s="109"/>
    </row>
    <row r="22" spans="2:25" ht="15" x14ac:dyDescent="0.25">
      <c r="J22" s="96"/>
      <c r="O22" s="109"/>
      <c r="P22" s="109"/>
      <c r="Q22" s="109"/>
      <c r="R22" s="109"/>
      <c r="S22" s="109"/>
      <c r="T22" s="109"/>
      <c r="U22" s="109"/>
      <c r="V22" s="109"/>
      <c r="W22" s="109"/>
      <c r="X22" s="109"/>
      <c r="Y22" s="109"/>
    </row>
    <row r="23" spans="2:25" ht="15" x14ac:dyDescent="0.25">
      <c r="O23" s="109"/>
      <c r="P23" s="109"/>
      <c r="Q23" s="109"/>
      <c r="R23" s="109"/>
      <c r="S23" s="109"/>
      <c r="T23" s="109"/>
      <c r="U23" s="109"/>
      <c r="V23" s="109"/>
      <c r="W23" s="109"/>
      <c r="X23" s="109"/>
      <c r="Y23" s="109"/>
    </row>
    <row r="24" spans="2:25" ht="15" x14ac:dyDescent="0.25">
      <c r="O24" s="109"/>
      <c r="P24" s="109"/>
      <c r="Q24" s="109"/>
      <c r="R24" s="109"/>
      <c r="S24" s="109"/>
      <c r="T24" s="109"/>
      <c r="U24" s="109"/>
      <c r="V24" s="109"/>
      <c r="W24" s="109"/>
      <c r="X24" s="109"/>
      <c r="Y24" s="109"/>
    </row>
    <row r="25" spans="2:25" ht="15" x14ac:dyDescent="0.25">
      <c r="B25" s="106" t="s">
        <v>299</v>
      </c>
      <c r="C25" s="106"/>
      <c r="O25" s="109"/>
      <c r="P25" s="109"/>
      <c r="Q25" s="109"/>
      <c r="R25" s="109"/>
      <c r="S25" s="109"/>
      <c r="T25" s="109"/>
      <c r="U25" s="109"/>
      <c r="V25" s="109"/>
      <c r="W25" s="109"/>
      <c r="X25" s="109"/>
      <c r="Y25" s="109"/>
    </row>
    <row r="26" spans="2:25" ht="15" x14ac:dyDescent="0.25">
      <c r="O26" s="109"/>
      <c r="P26" s="109"/>
      <c r="Q26" s="109"/>
      <c r="R26" s="109"/>
      <c r="S26" s="109"/>
      <c r="T26" s="109"/>
      <c r="U26" s="109"/>
      <c r="V26" s="109"/>
      <c r="W26" s="109"/>
      <c r="X26" s="109"/>
      <c r="Y26" s="109"/>
    </row>
    <row r="27" spans="2:25" ht="15" x14ac:dyDescent="0.25">
      <c r="E27" s="106" t="s">
        <v>92</v>
      </c>
      <c r="F27" s="106" t="s">
        <v>258</v>
      </c>
      <c r="G27" s="106" t="s">
        <v>300</v>
      </c>
      <c r="H27" s="106" t="s">
        <v>298</v>
      </c>
      <c r="I27" s="106" t="s">
        <v>85</v>
      </c>
      <c r="J27" s="106" t="s">
        <v>538</v>
      </c>
      <c r="K27" s="106" t="s">
        <v>539</v>
      </c>
      <c r="L27" s="106"/>
      <c r="M27" s="106"/>
      <c r="O27" s="109"/>
      <c r="P27" s="109"/>
      <c r="Q27" s="109"/>
      <c r="R27" s="109"/>
      <c r="S27" s="109"/>
      <c r="T27" s="109"/>
      <c r="U27" s="109"/>
      <c r="V27" s="109"/>
      <c r="W27" s="109"/>
      <c r="X27" s="109"/>
      <c r="Y27" s="109"/>
    </row>
    <row r="28" spans="2:25" ht="15" x14ac:dyDescent="0.25">
      <c r="D28" s="118">
        <v>1</v>
      </c>
      <c r="E28" s="118" t="s">
        <v>304</v>
      </c>
      <c r="F28" s="118" t="s">
        <v>74</v>
      </c>
      <c r="G28" s="111">
        <v>555855</v>
      </c>
      <c r="H28" s="116">
        <v>4</v>
      </c>
      <c r="I28" s="111">
        <f>G28*H28</f>
        <v>2223420</v>
      </c>
      <c r="J28" s="104">
        <f>20096/2.205</f>
        <v>9113.8321995464848</v>
      </c>
      <c r="K28" s="104">
        <f>H28*J28</f>
        <v>36455.328798185939</v>
      </c>
      <c r="N28" s="112"/>
      <c r="O28" s="109"/>
      <c r="P28" s="109"/>
      <c r="Q28" s="109"/>
      <c r="R28" s="109"/>
      <c r="S28" s="109"/>
      <c r="T28" s="109"/>
      <c r="U28" s="109"/>
      <c r="V28" s="109"/>
      <c r="W28" s="109"/>
      <c r="X28" s="109"/>
      <c r="Y28" s="109"/>
    </row>
    <row r="29" spans="2:25" ht="15" x14ac:dyDescent="0.25">
      <c r="D29" s="118">
        <v>2</v>
      </c>
      <c r="E29" s="118" t="s">
        <v>305</v>
      </c>
      <c r="F29" s="118" t="s">
        <v>62</v>
      </c>
      <c r="G29" s="111">
        <f>20316+82963</f>
        <v>103279</v>
      </c>
      <c r="H29" s="116">
        <v>4</v>
      </c>
      <c r="I29" s="111">
        <f>G29*H29</f>
        <v>413116</v>
      </c>
      <c r="J29" s="104">
        <f>(1649+6069)/2.205</f>
        <v>3500.2267573696145</v>
      </c>
      <c r="K29" s="104">
        <f>H29*J29</f>
        <v>14000.907029478458</v>
      </c>
      <c r="O29" s="109"/>
      <c r="P29" s="109"/>
      <c r="Q29" s="109"/>
      <c r="R29" s="109"/>
      <c r="S29" s="109"/>
      <c r="T29" s="109"/>
      <c r="U29" s="109"/>
      <c r="V29" s="109"/>
      <c r="W29" s="109"/>
      <c r="X29" s="109"/>
      <c r="Y29" s="109"/>
    </row>
    <row r="30" spans="2:25" ht="15" x14ac:dyDescent="0.25">
      <c r="D30" s="118">
        <v>3</v>
      </c>
      <c r="E30" s="118" t="s">
        <v>306</v>
      </c>
      <c r="F30" s="118" t="s">
        <v>66</v>
      </c>
      <c r="G30" s="111">
        <v>328803</v>
      </c>
      <c r="H30" s="116">
        <v>4</v>
      </c>
      <c r="I30" s="111">
        <f t="shared" ref="I30:I52" si="10">G30*H30</f>
        <v>1315212</v>
      </c>
      <c r="J30" s="104">
        <f>28995/2.205</f>
        <v>13149.659863945577</v>
      </c>
      <c r="K30" s="104">
        <f t="shared" ref="K30:K50" si="11">H30*J30</f>
        <v>52598.639455782308</v>
      </c>
      <c r="O30" s="109"/>
      <c r="P30" s="109"/>
      <c r="Q30" s="109"/>
      <c r="R30" s="109"/>
      <c r="S30" s="109"/>
      <c r="T30" s="109"/>
      <c r="U30" s="109"/>
      <c r="V30" s="109"/>
      <c r="W30" s="109"/>
      <c r="X30" s="109"/>
      <c r="Y30" s="109"/>
    </row>
    <row r="31" spans="2:25" ht="15" x14ac:dyDescent="0.25">
      <c r="D31" s="118">
        <v>4</v>
      </c>
      <c r="E31" s="118" t="s">
        <v>307</v>
      </c>
      <c r="F31" s="118" t="s">
        <v>66</v>
      </c>
      <c r="G31" s="111">
        <v>34964</v>
      </c>
      <c r="H31" s="116">
        <v>4</v>
      </c>
      <c r="I31" s="111">
        <f t="shared" si="10"/>
        <v>139856</v>
      </c>
      <c r="J31" s="104">
        <f>3627/2.205</f>
        <v>1644.8979591836735</v>
      </c>
      <c r="K31" s="104">
        <f t="shared" si="11"/>
        <v>6579.591836734694</v>
      </c>
      <c r="O31" s="109"/>
      <c r="P31" s="109"/>
      <c r="Q31" s="109"/>
      <c r="R31" s="109"/>
      <c r="S31" s="109"/>
      <c r="T31" s="109"/>
      <c r="U31" s="109"/>
      <c r="V31" s="109"/>
      <c r="W31" s="109"/>
      <c r="X31" s="109"/>
      <c r="Y31" s="109"/>
    </row>
    <row r="32" spans="2:25" ht="15" x14ac:dyDescent="0.25">
      <c r="D32" s="118">
        <v>5</v>
      </c>
      <c r="E32" s="118" t="s">
        <v>308</v>
      </c>
      <c r="F32" s="118" t="s">
        <v>66</v>
      </c>
      <c r="G32" s="111">
        <v>20813</v>
      </c>
      <c r="H32" s="116">
        <v>4</v>
      </c>
      <c r="I32" s="111">
        <f t="shared" si="10"/>
        <v>83252</v>
      </c>
      <c r="J32" s="104">
        <f>2159/2.205</f>
        <v>979.13832199546482</v>
      </c>
      <c r="K32" s="104">
        <f t="shared" si="11"/>
        <v>3916.5532879818593</v>
      </c>
      <c r="O32" s="109"/>
      <c r="P32" s="109"/>
      <c r="Q32" s="109"/>
      <c r="R32" s="109"/>
      <c r="S32" s="109"/>
      <c r="T32" s="109"/>
      <c r="U32" s="109"/>
      <c r="V32" s="109"/>
      <c r="W32" s="109"/>
      <c r="X32" s="109"/>
      <c r="Y32" s="109"/>
    </row>
    <row r="33" spans="4:13" ht="15" x14ac:dyDescent="0.25">
      <c r="D33" s="118">
        <v>6</v>
      </c>
      <c r="E33" s="118" t="s">
        <v>309</v>
      </c>
      <c r="F33" s="118" t="s">
        <v>62</v>
      </c>
      <c r="G33" s="111">
        <v>28480</v>
      </c>
      <c r="H33" s="116">
        <v>4</v>
      </c>
      <c r="I33" s="111">
        <f t="shared" si="10"/>
        <v>113920</v>
      </c>
      <c r="J33" s="104">
        <f>2088/2.205</f>
        <v>946.9387755102041</v>
      </c>
      <c r="K33" s="104">
        <f t="shared" si="11"/>
        <v>3787.7551020408164</v>
      </c>
    </row>
    <row r="34" spans="4:13" ht="15" x14ac:dyDescent="0.25">
      <c r="D34" s="118">
        <v>7</v>
      </c>
      <c r="E34" s="118" t="s">
        <v>310</v>
      </c>
      <c r="F34" s="118" t="s">
        <v>74</v>
      </c>
      <c r="G34" s="111">
        <v>326290</v>
      </c>
      <c r="H34" s="116">
        <v>4</v>
      </c>
      <c r="I34" s="111">
        <f t="shared" si="10"/>
        <v>1305160</v>
      </c>
      <c r="J34" s="104">
        <f>32370/2.205</f>
        <v>14680.272108843537</v>
      </c>
      <c r="K34" s="104">
        <f t="shared" si="11"/>
        <v>58721.088435374149</v>
      </c>
    </row>
    <row r="35" spans="4:13" ht="15" x14ac:dyDescent="0.25">
      <c r="D35" s="118">
        <v>8</v>
      </c>
      <c r="E35" s="118" t="s">
        <v>311</v>
      </c>
      <c r="F35" s="118" t="s">
        <v>62</v>
      </c>
      <c r="G35" s="111">
        <f>5119+30761</f>
        <v>35880</v>
      </c>
      <c r="H35" s="116">
        <v>12</v>
      </c>
      <c r="I35" s="111">
        <f t="shared" si="10"/>
        <v>430560</v>
      </c>
      <c r="J35" s="104">
        <f>(544+3269)/2.205</f>
        <v>1729.2517006802721</v>
      </c>
      <c r="K35" s="104">
        <f t="shared" si="11"/>
        <v>20751.020408163266</v>
      </c>
    </row>
    <row r="36" spans="4:13" ht="15" x14ac:dyDescent="0.25">
      <c r="D36" s="118">
        <v>9</v>
      </c>
      <c r="E36" s="118" t="s">
        <v>312</v>
      </c>
      <c r="F36" s="118" t="s">
        <v>72</v>
      </c>
      <c r="G36" s="111">
        <v>95549</v>
      </c>
      <c r="H36" s="116">
        <v>12</v>
      </c>
      <c r="I36" s="111">
        <f t="shared" si="10"/>
        <v>1146588</v>
      </c>
      <c r="J36" s="104">
        <f>10154/2.205</f>
        <v>4604.988662131519</v>
      </c>
      <c r="K36" s="104">
        <f t="shared" si="11"/>
        <v>55259.863945578225</v>
      </c>
    </row>
    <row r="37" spans="4:13" ht="15" x14ac:dyDescent="0.25">
      <c r="D37" s="118">
        <v>10</v>
      </c>
      <c r="E37" s="118" t="s">
        <v>313</v>
      </c>
      <c r="F37" s="118" t="s">
        <v>72</v>
      </c>
      <c r="G37" s="111">
        <v>2108</v>
      </c>
      <c r="H37" s="116">
        <v>12</v>
      </c>
      <c r="I37" s="111">
        <f t="shared" si="10"/>
        <v>25296</v>
      </c>
      <c r="J37" s="104">
        <f>224/2.205</f>
        <v>101.58730158730158</v>
      </c>
      <c r="K37" s="104">
        <f t="shared" si="11"/>
        <v>1219.047619047619</v>
      </c>
    </row>
    <row r="38" spans="4:13" ht="15" x14ac:dyDescent="0.25">
      <c r="D38" s="118">
        <v>11</v>
      </c>
      <c r="E38" s="118" t="s">
        <v>314</v>
      </c>
      <c r="F38" s="118" t="s">
        <v>43</v>
      </c>
      <c r="G38" s="111">
        <v>875000</v>
      </c>
      <c r="H38" s="116">
        <v>1</v>
      </c>
      <c r="I38" s="111">
        <f t="shared" si="10"/>
        <v>875000</v>
      </c>
      <c r="J38" s="230">
        <f>55000/2.205</f>
        <v>24943.310657596372</v>
      </c>
      <c r="K38" s="104">
        <f t="shared" si="11"/>
        <v>24943.310657596372</v>
      </c>
    </row>
    <row r="39" spans="4:13" ht="15" x14ac:dyDescent="0.25">
      <c r="D39" s="118">
        <v>12</v>
      </c>
      <c r="E39" s="118" t="s">
        <v>149</v>
      </c>
      <c r="F39" s="118" t="s">
        <v>36</v>
      </c>
      <c r="G39" s="111">
        <f>350000+4000</f>
        <v>354000</v>
      </c>
      <c r="H39" s="116">
        <v>4</v>
      </c>
      <c r="I39" s="111">
        <f t="shared" si="10"/>
        <v>1416000</v>
      </c>
      <c r="J39" s="230">
        <f>11550/2.205</f>
        <v>5238.0952380952376</v>
      </c>
      <c r="K39" s="104">
        <f t="shared" si="11"/>
        <v>20952.38095238095</v>
      </c>
    </row>
    <row r="40" spans="4:13" ht="15" x14ac:dyDescent="0.25">
      <c r="D40" s="118">
        <v>13</v>
      </c>
      <c r="E40" s="118" t="s">
        <v>315</v>
      </c>
      <c r="F40" s="118" t="s">
        <v>41</v>
      </c>
      <c r="G40" s="111">
        <v>250000</v>
      </c>
      <c r="H40" s="116">
        <v>4</v>
      </c>
      <c r="I40" s="111">
        <f t="shared" si="10"/>
        <v>1000000</v>
      </c>
      <c r="J40" s="104">
        <f>4982/2.205</f>
        <v>2259.4104308390024</v>
      </c>
      <c r="K40" s="104">
        <f t="shared" si="11"/>
        <v>9037.6417233560096</v>
      </c>
    </row>
    <row r="41" spans="4:13" ht="15" x14ac:dyDescent="0.25">
      <c r="D41" s="108">
        <v>14</v>
      </c>
      <c r="E41" s="108" t="s">
        <v>316</v>
      </c>
      <c r="F41" s="108" t="s">
        <v>74</v>
      </c>
      <c r="G41" s="4">
        <f>450000+15000</f>
        <v>465000</v>
      </c>
      <c r="H41" s="158">
        <v>4</v>
      </c>
      <c r="I41" s="4">
        <f t="shared" si="10"/>
        <v>1860000</v>
      </c>
      <c r="J41" s="80">
        <f>40036/2.205</f>
        <v>18156.916099773243</v>
      </c>
      <c r="K41" s="80">
        <f t="shared" si="11"/>
        <v>72627.664399092973</v>
      </c>
      <c r="L41" s="108"/>
    </row>
    <row r="42" spans="4:13" ht="15" x14ac:dyDescent="0.25">
      <c r="D42" s="108">
        <v>15</v>
      </c>
      <c r="E42" s="108" t="s">
        <v>317</v>
      </c>
      <c r="F42" s="108" t="s">
        <v>18</v>
      </c>
      <c r="G42" s="4">
        <v>152108.52238905482</v>
      </c>
      <c r="H42" s="158">
        <v>4</v>
      </c>
      <c r="I42" s="4">
        <f t="shared" si="10"/>
        <v>608434.08955621929</v>
      </c>
      <c r="J42" s="80">
        <f>3068.5/2.205</f>
        <v>1391.6099773242629</v>
      </c>
      <c r="K42" s="80">
        <f t="shared" si="11"/>
        <v>5566.4399092970516</v>
      </c>
      <c r="L42" s="108"/>
    </row>
    <row r="43" spans="4:13" ht="15" x14ac:dyDescent="0.25">
      <c r="D43" s="108">
        <v>16</v>
      </c>
      <c r="E43" s="108" t="s">
        <v>318</v>
      </c>
      <c r="F43" s="108" t="s">
        <v>66</v>
      </c>
      <c r="G43" s="4">
        <v>92208</v>
      </c>
      <c r="H43" s="158">
        <v>4</v>
      </c>
      <c r="I43" s="4">
        <f t="shared" si="10"/>
        <v>368832</v>
      </c>
      <c r="J43" s="80">
        <v>736</v>
      </c>
      <c r="K43" s="80">
        <f t="shared" si="11"/>
        <v>2944</v>
      </c>
      <c r="L43" s="108"/>
    </row>
    <row r="44" spans="4:13" ht="15" x14ac:dyDescent="0.25">
      <c r="D44" s="108">
        <v>17</v>
      </c>
      <c r="E44" s="108" t="s">
        <v>319</v>
      </c>
      <c r="F44" s="108" t="s">
        <v>66</v>
      </c>
      <c r="G44" s="4">
        <v>58144</v>
      </c>
      <c r="H44" s="158">
        <v>8</v>
      </c>
      <c r="I44" s="4">
        <f t="shared" si="10"/>
        <v>465152</v>
      </c>
      <c r="J44" s="80">
        <v>905</v>
      </c>
      <c r="K44" s="80">
        <f t="shared" si="11"/>
        <v>7240</v>
      </c>
      <c r="L44" s="108"/>
    </row>
    <row r="45" spans="4:13" ht="15" x14ac:dyDescent="0.25">
      <c r="D45" s="108">
        <v>18</v>
      </c>
      <c r="E45" s="108" t="s">
        <v>320</v>
      </c>
      <c r="F45" s="108" t="s">
        <v>62</v>
      </c>
      <c r="G45" s="4">
        <v>262000</v>
      </c>
      <c r="H45" s="158">
        <v>4</v>
      </c>
      <c r="I45" s="4">
        <f t="shared" si="10"/>
        <v>1048000</v>
      </c>
      <c r="J45" s="80">
        <v>182</v>
      </c>
      <c r="K45" s="80">
        <f t="shared" si="11"/>
        <v>728</v>
      </c>
      <c r="L45" s="108"/>
    </row>
    <row r="46" spans="4:13" ht="15" x14ac:dyDescent="0.25">
      <c r="D46" s="108">
        <v>19</v>
      </c>
      <c r="E46" s="108" t="s">
        <v>321</v>
      </c>
      <c r="F46" s="108" t="s">
        <v>74</v>
      </c>
      <c r="G46" s="4">
        <v>15000</v>
      </c>
      <c r="H46" s="158">
        <v>4</v>
      </c>
      <c r="I46" s="4">
        <f t="shared" si="10"/>
        <v>60000</v>
      </c>
      <c r="J46" s="80">
        <f>(1300+1500)/2.205</f>
        <v>1269.8412698412699</v>
      </c>
      <c r="K46" s="80">
        <f t="shared" si="11"/>
        <v>5079.3650793650795</v>
      </c>
      <c r="L46" s="108"/>
    </row>
    <row r="47" spans="4:13" ht="15" x14ac:dyDescent="0.25">
      <c r="D47" s="108">
        <v>20</v>
      </c>
      <c r="E47" s="108" t="s">
        <v>404</v>
      </c>
      <c r="F47" s="108" t="s">
        <v>72</v>
      </c>
      <c r="G47" s="139">
        <f>13.41*J47</f>
        <v>56322</v>
      </c>
      <c r="H47" s="138">
        <v>4</v>
      </c>
      <c r="I47" s="139">
        <f t="shared" si="10"/>
        <v>225288</v>
      </c>
      <c r="J47" s="163">
        <f>1400*3</f>
        <v>4200</v>
      </c>
      <c r="K47" s="163">
        <f t="shared" si="11"/>
        <v>16800</v>
      </c>
      <c r="L47" s="109"/>
      <c r="M47" s="109"/>
    </row>
    <row r="48" spans="4:13" ht="15" x14ac:dyDescent="0.25">
      <c r="D48" s="108">
        <v>21</v>
      </c>
      <c r="E48" s="108" t="s">
        <v>125</v>
      </c>
      <c r="F48" s="108" t="s">
        <v>64</v>
      </c>
      <c r="G48" s="4">
        <v>100000</v>
      </c>
      <c r="H48" s="158">
        <v>4</v>
      </c>
      <c r="I48" s="4">
        <f t="shared" si="10"/>
        <v>400000</v>
      </c>
      <c r="J48" s="80"/>
      <c r="K48" s="80">
        <f t="shared" si="11"/>
        <v>0</v>
      </c>
      <c r="L48" s="108"/>
    </row>
    <row r="49" spans="2:12" ht="15" x14ac:dyDescent="0.25">
      <c r="D49" s="108">
        <v>22</v>
      </c>
      <c r="E49" s="108" t="s">
        <v>362</v>
      </c>
      <c r="F49" s="108" t="s">
        <v>45</v>
      </c>
      <c r="G49" s="4">
        <f>2880*150</f>
        <v>432000</v>
      </c>
      <c r="H49" s="158">
        <v>1</v>
      </c>
      <c r="I49" s="4">
        <f t="shared" si="10"/>
        <v>432000</v>
      </c>
      <c r="J49" s="80"/>
      <c r="K49" s="80">
        <f t="shared" si="11"/>
        <v>0</v>
      </c>
      <c r="L49" s="108"/>
    </row>
    <row r="50" spans="2:12" ht="15" x14ac:dyDescent="0.25">
      <c r="D50" s="108">
        <v>23</v>
      </c>
      <c r="E50" s="108" t="s">
        <v>370</v>
      </c>
      <c r="F50" s="108" t="s">
        <v>402</v>
      </c>
      <c r="G50" s="4">
        <f>980071/4</f>
        <v>245017.75</v>
      </c>
      <c r="H50" s="158">
        <v>4</v>
      </c>
      <c r="I50" s="4">
        <f t="shared" si="10"/>
        <v>980071</v>
      </c>
      <c r="J50" s="80">
        <v>27785</v>
      </c>
      <c r="K50" s="80">
        <f t="shared" si="11"/>
        <v>111140</v>
      </c>
      <c r="L50" s="108"/>
    </row>
    <row r="51" spans="2:12" ht="15" x14ac:dyDescent="0.25">
      <c r="D51" s="505">
        <v>24</v>
      </c>
      <c r="E51" s="505" t="s">
        <v>713</v>
      </c>
      <c r="F51" s="505" t="s">
        <v>74</v>
      </c>
      <c r="G51" s="363">
        <f>101286/4+(275856/24489.8*(82010.5/2.205))</f>
        <v>444267.51328677556</v>
      </c>
      <c r="H51" s="158">
        <v>4</v>
      </c>
      <c r="I51" s="363">
        <f t="shared" si="10"/>
        <v>1777070.0531471022</v>
      </c>
      <c r="J51" s="115">
        <f>82010.5/2.205</f>
        <v>37192.970521541945</v>
      </c>
      <c r="K51" s="80">
        <f>H51*J51</f>
        <v>148771.88208616778</v>
      </c>
    </row>
    <row r="52" spans="2:12" ht="15" x14ac:dyDescent="0.25">
      <c r="D52" s="505">
        <v>25</v>
      </c>
      <c r="E52" s="505" t="s">
        <v>715</v>
      </c>
      <c r="F52" s="505" t="s">
        <v>18</v>
      </c>
      <c r="G52" s="363">
        <v>851138</v>
      </c>
      <c r="H52" s="158">
        <v>1</v>
      </c>
      <c r="I52" s="363">
        <f t="shared" si="10"/>
        <v>851138</v>
      </c>
      <c r="J52" s="115">
        <f>59770/2.205</f>
        <v>27106.57596371882</v>
      </c>
      <c r="K52" s="80">
        <f>H52*J52</f>
        <v>27106.57596371882</v>
      </c>
    </row>
    <row r="53" spans="2:12" ht="15" x14ac:dyDescent="0.25">
      <c r="F53" s="87"/>
      <c r="G53" s="89"/>
    </row>
    <row r="54" spans="2:12" ht="15" x14ac:dyDescent="0.25">
      <c r="B54" s="106" t="s">
        <v>363</v>
      </c>
      <c r="C54" s="106"/>
    </row>
    <row r="55" spans="2:12" ht="15" x14ac:dyDescent="0.25">
      <c r="F55" s="87"/>
      <c r="G55" s="89"/>
    </row>
    <row r="56" spans="2:12" ht="15" x14ac:dyDescent="0.25">
      <c r="E56" s="106" t="s">
        <v>92</v>
      </c>
      <c r="F56" s="106" t="s">
        <v>258</v>
      </c>
      <c r="G56" s="106" t="s">
        <v>300</v>
      </c>
      <c r="H56" s="106" t="s">
        <v>298</v>
      </c>
      <c r="I56" s="106" t="s">
        <v>85</v>
      </c>
      <c r="J56" s="106"/>
      <c r="K56" s="106"/>
    </row>
    <row r="57" spans="2:12" ht="15" x14ac:dyDescent="0.25">
      <c r="D57" s="118">
        <v>1</v>
      </c>
      <c r="E57" s="114" t="s">
        <v>405</v>
      </c>
      <c r="F57" s="118" t="s">
        <v>72</v>
      </c>
      <c r="G57" s="111">
        <v>51702.622718040555</v>
      </c>
      <c r="H57" s="116">
        <v>4</v>
      </c>
      <c r="I57" s="111">
        <f t="shared" ref="I57:I71" si="12">G57*H57</f>
        <v>206810.49087216222</v>
      </c>
      <c r="K57" s="30"/>
    </row>
    <row r="58" spans="2:12" ht="15" x14ac:dyDescent="0.25">
      <c r="D58" s="118">
        <v>2</v>
      </c>
      <c r="E58" s="114" t="s">
        <v>371</v>
      </c>
      <c r="F58" s="118" t="s">
        <v>74</v>
      </c>
      <c r="G58" s="111">
        <v>324409.96496922203</v>
      </c>
      <c r="H58" s="116">
        <v>4</v>
      </c>
      <c r="I58" s="111">
        <f t="shared" si="12"/>
        <v>1297639.8598768881</v>
      </c>
      <c r="K58" s="30"/>
    </row>
    <row r="59" spans="2:12" ht="15" x14ac:dyDescent="0.25">
      <c r="D59" s="118">
        <v>3</v>
      </c>
      <c r="E59" s="114" t="s">
        <v>406</v>
      </c>
      <c r="F59" s="118" t="s">
        <v>72</v>
      </c>
      <c r="G59" s="111">
        <v>78120.741154241594</v>
      </c>
      <c r="H59" s="116">
        <v>4</v>
      </c>
      <c r="I59" s="111">
        <f t="shared" si="12"/>
        <v>312482.96461696638</v>
      </c>
      <c r="K59" s="30"/>
    </row>
    <row r="60" spans="2:12" x14ac:dyDescent="0.3">
      <c r="D60" s="118">
        <v>4</v>
      </c>
      <c r="E60" s="114" t="s">
        <v>407</v>
      </c>
      <c r="F60" s="118" t="s">
        <v>74</v>
      </c>
      <c r="G60" s="111">
        <v>102280.28480344784</v>
      </c>
      <c r="H60" s="116">
        <v>4</v>
      </c>
      <c r="I60" s="111">
        <f t="shared" si="12"/>
        <v>409121.13921379135</v>
      </c>
      <c r="K60" s="30"/>
    </row>
    <row r="61" spans="2:12" x14ac:dyDescent="0.3">
      <c r="D61" s="118">
        <v>5</v>
      </c>
      <c r="E61" s="114" t="s">
        <v>408</v>
      </c>
      <c r="F61" s="118" t="s">
        <v>66</v>
      </c>
      <c r="G61" s="111">
        <v>448386.47311987053</v>
      </c>
      <c r="H61" s="116">
        <v>4</v>
      </c>
      <c r="I61" s="111">
        <f t="shared" si="12"/>
        <v>1793545.8924794821</v>
      </c>
      <c r="J61" s="140"/>
      <c r="K61" s="30"/>
    </row>
    <row r="62" spans="2:12" ht="15" customHeight="1" x14ac:dyDescent="0.3">
      <c r="D62" s="141">
        <v>6</v>
      </c>
      <c r="E62" s="142" t="s">
        <v>409</v>
      </c>
      <c r="F62" s="141" t="s">
        <v>74</v>
      </c>
      <c r="G62" s="111">
        <v>243041.01694915257</v>
      </c>
      <c r="H62" s="116">
        <v>4</v>
      </c>
      <c r="I62" s="111">
        <f t="shared" si="12"/>
        <v>972164.0677966103</v>
      </c>
      <c r="J62" s="159"/>
      <c r="K62" s="30"/>
    </row>
    <row r="63" spans="2:12" ht="15" customHeight="1" x14ac:dyDescent="0.3">
      <c r="D63" s="118">
        <v>7</v>
      </c>
      <c r="E63" s="114" t="s">
        <v>410</v>
      </c>
      <c r="F63" s="118" t="s">
        <v>74</v>
      </c>
      <c r="G63" s="111">
        <v>8022.82099343955</v>
      </c>
      <c r="H63" s="116">
        <v>4</v>
      </c>
      <c r="I63" s="111">
        <f t="shared" si="12"/>
        <v>32091.2839737582</v>
      </c>
      <c r="J63" s="160"/>
      <c r="K63" s="30"/>
    </row>
    <row r="64" spans="2:12" ht="15" customHeight="1" x14ac:dyDescent="0.3">
      <c r="D64" s="141">
        <v>8</v>
      </c>
      <c r="E64" s="142" t="s">
        <v>411</v>
      </c>
      <c r="F64" s="141" t="s">
        <v>36</v>
      </c>
      <c r="G64" s="111">
        <v>90553.96711937098</v>
      </c>
      <c r="H64" s="116">
        <v>4</v>
      </c>
      <c r="I64" s="111">
        <f t="shared" si="12"/>
        <v>362215.86847748392</v>
      </c>
      <c r="J64" s="159"/>
      <c r="K64" s="30"/>
    </row>
    <row r="65" spans="1:30" x14ac:dyDescent="0.3">
      <c r="D65" s="118">
        <v>9</v>
      </c>
      <c r="E65" s="114" t="s">
        <v>412</v>
      </c>
      <c r="F65" s="118" t="s">
        <v>41</v>
      </c>
      <c r="G65" s="111">
        <v>107084.12483039348</v>
      </c>
      <c r="H65" s="116">
        <v>4</v>
      </c>
      <c r="I65" s="111">
        <f t="shared" si="12"/>
        <v>428336.49932157394</v>
      </c>
      <c r="J65" s="140"/>
      <c r="K65" s="30"/>
    </row>
    <row r="66" spans="1:30" x14ac:dyDescent="0.3">
      <c r="D66" s="118">
        <v>10</v>
      </c>
      <c r="E66" s="114" t="s">
        <v>413</v>
      </c>
      <c r="F66" s="118" t="s">
        <v>18</v>
      </c>
      <c r="G66" s="111">
        <v>75582.419991288261</v>
      </c>
      <c r="H66" s="116">
        <v>4</v>
      </c>
      <c r="I66" s="111">
        <f t="shared" si="12"/>
        <v>302329.67996515305</v>
      </c>
      <c r="J66" s="140"/>
      <c r="K66" s="30"/>
    </row>
    <row r="67" spans="1:30" x14ac:dyDescent="0.3">
      <c r="D67" s="118">
        <v>11</v>
      </c>
      <c r="E67" s="114" t="s">
        <v>414</v>
      </c>
      <c r="F67" s="118" t="s">
        <v>40</v>
      </c>
      <c r="G67" s="111">
        <v>16666.666666666668</v>
      </c>
      <c r="H67" s="116">
        <v>4</v>
      </c>
      <c r="I67" s="111">
        <f t="shared" si="12"/>
        <v>66666.666666666672</v>
      </c>
      <c r="J67" s="140"/>
      <c r="K67" s="30"/>
    </row>
    <row r="68" spans="1:30" x14ac:dyDescent="0.3">
      <c r="D68" s="118">
        <v>12</v>
      </c>
      <c r="E68" s="114" t="s">
        <v>415</v>
      </c>
      <c r="F68" s="118" t="s">
        <v>64</v>
      </c>
      <c r="G68" s="111">
        <v>71485.105028644175</v>
      </c>
      <c r="H68" s="116">
        <v>4</v>
      </c>
      <c r="I68" s="111">
        <f t="shared" si="12"/>
        <v>285940.4201145767</v>
      </c>
      <c r="J68" s="140"/>
      <c r="K68" s="30"/>
    </row>
    <row r="69" spans="1:30" ht="16.5" customHeight="1" x14ac:dyDescent="0.3">
      <c r="D69" s="118">
        <v>13</v>
      </c>
      <c r="E69" s="109" t="s">
        <v>416</v>
      </c>
      <c r="F69" s="108" t="s">
        <v>43</v>
      </c>
      <c r="G69" s="4">
        <v>622310</v>
      </c>
      <c r="H69" s="158">
        <v>1</v>
      </c>
      <c r="I69" s="111">
        <f t="shared" si="12"/>
        <v>622310</v>
      </c>
      <c r="J69" s="140"/>
      <c r="K69" s="115"/>
    </row>
    <row r="70" spans="1:30" ht="18" customHeight="1" x14ac:dyDescent="0.3">
      <c r="D70" s="118">
        <v>14</v>
      </c>
      <c r="E70" s="109" t="s">
        <v>62</v>
      </c>
      <c r="F70" s="108" t="s">
        <v>62</v>
      </c>
      <c r="G70" s="4">
        <v>455394</v>
      </c>
      <c r="H70" s="158">
        <v>4</v>
      </c>
      <c r="I70" s="111">
        <f t="shared" si="12"/>
        <v>1821576</v>
      </c>
      <c r="J70" s="140"/>
      <c r="K70" s="115"/>
    </row>
    <row r="71" spans="1:30" x14ac:dyDescent="0.3">
      <c r="D71" s="118">
        <v>15</v>
      </c>
      <c r="E71" s="109" t="s">
        <v>370</v>
      </c>
      <c r="F71" s="118" t="s">
        <v>402</v>
      </c>
      <c r="G71" s="87">
        <v>174259.12265919542</v>
      </c>
      <c r="H71" s="116">
        <v>4</v>
      </c>
      <c r="I71" s="111">
        <f t="shared" si="12"/>
        <v>697036.49063678167</v>
      </c>
      <c r="J71" s="115"/>
      <c r="K71" s="115"/>
    </row>
    <row r="72" spans="1:30" x14ac:dyDescent="0.3">
      <c r="D72" s="118">
        <v>16</v>
      </c>
      <c r="E72" s="449" t="s">
        <v>45</v>
      </c>
      <c r="F72" s="118" t="s">
        <v>45</v>
      </c>
      <c r="G72" s="111">
        <v>377738.32960519264</v>
      </c>
      <c r="H72" s="116">
        <v>1</v>
      </c>
      <c r="I72" s="111">
        <f>G72*H72</f>
        <v>377738.32960519264</v>
      </c>
      <c r="J72" s="115"/>
      <c r="K72" s="115"/>
    </row>
    <row r="73" spans="1:30" x14ac:dyDescent="0.3">
      <c r="G73" s="111"/>
      <c r="H73" s="116"/>
      <c r="I73" s="4"/>
      <c r="J73" s="115"/>
      <c r="K73" s="115"/>
    </row>
    <row r="74" spans="1:30" x14ac:dyDescent="0.3">
      <c r="G74" s="111"/>
      <c r="H74" s="116"/>
      <c r="I74" s="4"/>
      <c r="J74" s="115"/>
      <c r="K74" s="115"/>
    </row>
    <row r="75" spans="1:30" s="143" customFormat="1" ht="15.6" x14ac:dyDescent="0.3">
      <c r="A75" s="118"/>
      <c r="B75" s="118"/>
      <c r="C75" s="118"/>
      <c r="D75" s="118"/>
      <c r="E75" s="118"/>
      <c r="F75" s="118"/>
      <c r="G75" s="111"/>
      <c r="H75" s="116"/>
      <c r="I75" s="4"/>
      <c r="J75" s="115"/>
      <c r="K75" s="115"/>
      <c r="L75" s="118"/>
      <c r="M75" s="118"/>
      <c r="N75" s="118"/>
      <c r="O75" s="118"/>
      <c r="P75" s="118"/>
      <c r="Q75" s="118"/>
      <c r="R75" s="118"/>
      <c r="S75" s="118"/>
      <c r="T75" s="118"/>
      <c r="U75" s="118"/>
      <c r="V75" s="118"/>
      <c r="W75" s="118"/>
      <c r="X75" s="118"/>
      <c r="Y75" s="118"/>
      <c r="Z75" s="118"/>
      <c r="AA75" s="118"/>
      <c r="AB75" s="118"/>
      <c r="AC75" s="118"/>
      <c r="AD75" s="118"/>
    </row>
    <row r="76" spans="1:30" x14ac:dyDescent="0.3">
      <c r="E76" s="108"/>
      <c r="F76" s="108"/>
      <c r="G76" s="108"/>
      <c r="H76" s="108"/>
      <c r="I76" s="108"/>
    </row>
    <row r="77" spans="1:30" x14ac:dyDescent="0.3">
      <c r="E77" s="108"/>
      <c r="F77" s="108"/>
      <c r="G77" s="108"/>
      <c r="H77" s="108"/>
      <c r="I77" s="108"/>
    </row>
    <row r="78" spans="1:30" x14ac:dyDescent="0.3">
      <c r="E78" s="108"/>
      <c r="F78" s="108"/>
      <c r="G78" s="108"/>
      <c r="H78" s="108"/>
      <c r="I78" s="108"/>
    </row>
    <row r="79" spans="1:30" x14ac:dyDescent="0.3">
      <c r="E79" s="108"/>
      <c r="F79" s="108"/>
      <c r="G79" s="108"/>
      <c r="H79" s="108"/>
      <c r="I79" s="108"/>
    </row>
    <row r="80" spans="1:30" x14ac:dyDescent="0.3">
      <c r="E80" s="108"/>
      <c r="F80" s="108"/>
      <c r="G80" s="108"/>
      <c r="H80" s="108"/>
      <c r="I80" s="108"/>
    </row>
    <row r="81" spans="5:9" x14ac:dyDescent="0.3">
      <c r="E81" s="108"/>
      <c r="F81" s="108"/>
      <c r="G81" s="108"/>
      <c r="H81" s="108"/>
      <c r="I81" s="108"/>
    </row>
  </sheetData>
  <mergeCells count="2">
    <mergeCell ref="B4:C4"/>
    <mergeCell ref="B5:C5"/>
  </mergeCells>
  <dataValidations count="2">
    <dataValidation type="list" showInputMessage="1" showErrorMessage="1" sqref="K53 F57:F75 F28:F52">
      <formula1>$E$4:$E$17</formula1>
    </dataValidation>
    <dataValidation type="list" showInputMessage="1" showErrorMessage="1" sqref="E4:E17">
      <formula1>#REF!</formula1>
    </dataValidation>
  </dataValidation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H14"/>
  <sheetViews>
    <sheetView zoomScale="70" zoomScaleNormal="70" workbookViewId="0">
      <selection activeCell="B14" sqref="B14"/>
    </sheetView>
  </sheetViews>
  <sheetFormatPr defaultRowHeight="14.4" x14ac:dyDescent="0.3"/>
  <cols>
    <col min="1" max="1" width="3.6640625" customWidth="1"/>
    <col min="4" max="4" width="26" customWidth="1"/>
    <col min="5" max="8" width="22.88671875" bestFit="1" customWidth="1"/>
  </cols>
  <sheetData>
    <row r="2" spans="1:8" x14ac:dyDescent="0.25">
      <c r="E2" s="112"/>
      <c r="F2" s="112"/>
      <c r="G2" s="112"/>
      <c r="H2" s="112"/>
    </row>
    <row r="3" spans="1:8" x14ac:dyDescent="0.25">
      <c r="A3" s="106" t="s">
        <v>540</v>
      </c>
      <c r="E3">
        <v>1</v>
      </c>
      <c r="F3">
        <v>10</v>
      </c>
      <c r="G3">
        <v>50</v>
      </c>
      <c r="H3">
        <v>100</v>
      </c>
    </row>
    <row r="4" spans="1:8" x14ac:dyDescent="0.25">
      <c r="B4" s="113"/>
    </row>
    <row r="5" spans="1:8" x14ac:dyDescent="0.25">
      <c r="B5" s="113"/>
      <c r="D5" t="s">
        <v>225</v>
      </c>
      <c r="E5" s="112" t="s">
        <v>541</v>
      </c>
      <c r="F5" s="112" t="s">
        <v>541</v>
      </c>
      <c r="G5" s="112" t="s">
        <v>541</v>
      </c>
      <c r="H5" s="112" t="s">
        <v>541</v>
      </c>
    </row>
    <row r="8" spans="1:8" s="504" customFormat="1" x14ac:dyDescent="0.25">
      <c r="A8" s="393" t="s">
        <v>729</v>
      </c>
      <c r="E8" s="111"/>
      <c r="F8" s="111"/>
      <c r="G8" s="111"/>
      <c r="H8" s="111"/>
    </row>
    <row r="9" spans="1:8" s="504" customFormat="1" x14ac:dyDescent="0.25">
      <c r="B9" s="504" t="s">
        <v>159</v>
      </c>
      <c r="E9" s="111"/>
      <c r="F9" s="111"/>
      <c r="G9" s="111"/>
      <c r="H9" s="111"/>
    </row>
    <row r="10" spans="1:8" s="504" customFormat="1" x14ac:dyDescent="0.25">
      <c r="B10" s="504" t="s">
        <v>160</v>
      </c>
    </row>
    <row r="11" spans="1:8" s="504" customFormat="1" x14ac:dyDescent="0.25">
      <c r="B11" s="397" t="s">
        <v>730</v>
      </c>
    </row>
    <row r="12" spans="1:8" s="504" customFormat="1" x14ac:dyDescent="0.25"/>
    <row r="13" spans="1:8" s="504" customFormat="1" x14ac:dyDescent="0.25">
      <c r="A13" s="393" t="s">
        <v>716</v>
      </c>
    </row>
    <row r="14" spans="1:8" s="504" customFormat="1" x14ac:dyDescent="0.25">
      <c r="B14" s="504" t="s">
        <v>731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73"/>
  <sheetViews>
    <sheetView zoomScale="70" zoomScaleNormal="70" workbookViewId="0">
      <selection activeCell="C171" sqref="C171"/>
    </sheetView>
  </sheetViews>
  <sheetFormatPr defaultColWidth="9.109375" defaultRowHeight="14.4" x14ac:dyDescent="0.3"/>
  <cols>
    <col min="1" max="1" width="6.88671875" style="7" customWidth="1"/>
    <col min="2" max="2" width="3.6640625" style="7" customWidth="1"/>
    <col min="3" max="3" width="23.5546875" style="7" customWidth="1"/>
    <col min="4" max="4" width="31.5546875" style="7" customWidth="1"/>
    <col min="5" max="5" width="10.44140625" style="7" customWidth="1"/>
    <col min="6" max="6" width="15" style="7" bestFit="1" customWidth="1"/>
    <col min="7" max="7" width="16.88671875" style="7" bestFit="1" customWidth="1"/>
    <col min="8" max="8" width="16.44140625" style="7" bestFit="1" customWidth="1"/>
    <col min="9" max="9" width="15.88671875" style="7" customWidth="1"/>
    <col min="10" max="10" width="13.33203125" style="7" customWidth="1"/>
    <col min="11" max="11" width="13.5546875" style="7" bestFit="1" customWidth="1"/>
    <col min="12" max="12" width="13.109375" style="7" bestFit="1" customWidth="1"/>
    <col min="13" max="13" width="14.5546875" style="7" bestFit="1" customWidth="1"/>
    <col min="14" max="14" width="14" style="7" customWidth="1"/>
    <col min="15" max="15" width="13.109375" style="7" bestFit="1" customWidth="1"/>
    <col min="16" max="16" width="15.44140625" style="7" bestFit="1" customWidth="1"/>
    <col min="17" max="17" width="10.5546875" style="7" customWidth="1"/>
    <col min="18" max="18" width="13.5546875" style="7" bestFit="1" customWidth="1"/>
    <col min="19" max="19" width="12" style="7" bestFit="1" customWidth="1"/>
    <col min="20" max="20" width="10.6640625" style="7" customWidth="1"/>
    <col min="21" max="21" width="13.5546875" style="7" bestFit="1" customWidth="1"/>
    <col min="22" max="16384" width="9.109375" style="7"/>
  </cols>
  <sheetData>
    <row r="1" spans="1:14" s="17" customFormat="1" ht="15" x14ac:dyDescent="0.25">
      <c r="B1" s="17" t="s">
        <v>291</v>
      </c>
    </row>
    <row r="2" spans="1:14" s="113" customFormat="1" ht="15" x14ac:dyDescent="0.25"/>
    <row r="3" spans="1:14" s="105" customFormat="1" ht="15" x14ac:dyDescent="0.25">
      <c r="A3" s="106" t="s">
        <v>253</v>
      </c>
    </row>
    <row r="4" spans="1:14" s="105" customFormat="1" ht="15" x14ac:dyDescent="0.25">
      <c r="E4" s="105" t="s">
        <v>68</v>
      </c>
      <c r="F4" s="105">
        <v>1</v>
      </c>
      <c r="G4" s="105">
        <v>10</v>
      </c>
      <c r="H4" s="105">
        <v>50</v>
      </c>
      <c r="I4" s="105">
        <v>100</v>
      </c>
    </row>
    <row r="5" spans="1:14" s="105" customFormat="1" ht="15" x14ac:dyDescent="0.25">
      <c r="B5" s="84" t="s">
        <v>78</v>
      </c>
      <c r="D5" s="105" t="s">
        <v>50</v>
      </c>
      <c r="F5" s="87">
        <f>F21</f>
        <v>73450</v>
      </c>
      <c r="G5" s="392">
        <f t="shared" ref="G5:I5" si="0">G21</f>
        <v>709500</v>
      </c>
      <c r="H5" s="392">
        <f t="shared" si="0"/>
        <v>3547500</v>
      </c>
      <c r="I5" s="392">
        <f t="shared" si="0"/>
        <v>7095000</v>
      </c>
    </row>
    <row r="6" spans="1:14" s="105" customFormat="1" ht="15" x14ac:dyDescent="0.25">
      <c r="B6" s="84" t="s">
        <v>79</v>
      </c>
      <c r="D6" s="105" t="s">
        <v>51</v>
      </c>
      <c r="F6" s="87">
        <f>F36</f>
        <v>667000</v>
      </c>
      <c r="G6" s="87">
        <f>G36</f>
        <v>767200</v>
      </c>
      <c r="H6" s="87">
        <f>H36</f>
        <v>1534000</v>
      </c>
      <c r="I6" s="87">
        <f>I36</f>
        <v>2301600</v>
      </c>
    </row>
    <row r="7" spans="1:14" s="105" customFormat="1" ht="15" x14ac:dyDescent="0.25">
      <c r="B7" s="84" t="s">
        <v>80</v>
      </c>
      <c r="D7" s="105" t="s">
        <v>75</v>
      </c>
      <c r="F7" s="87">
        <f>L80</f>
        <v>2805379.4541666671</v>
      </c>
      <c r="G7" s="87">
        <f>O80</f>
        <v>10650593.541666668</v>
      </c>
      <c r="H7" s="87">
        <f>R80</f>
        <v>45518211.708333328</v>
      </c>
      <c r="I7" s="87">
        <f>U80</f>
        <v>89102734.416666657</v>
      </c>
    </row>
    <row r="8" spans="1:14" s="105" customFormat="1" ht="15" x14ac:dyDescent="0.25">
      <c r="B8" s="84" t="s">
        <v>81</v>
      </c>
      <c r="D8" s="105" t="s">
        <v>12</v>
      </c>
      <c r="F8" s="87">
        <f>G100+F4*$G$132</f>
        <v>8791450.7592592575</v>
      </c>
      <c r="G8" s="87">
        <f>I100+G4*$G$132</f>
        <v>16220209.196759282</v>
      </c>
      <c r="H8" s="87">
        <f>I100+H4*$G$132</f>
        <v>21829273.502314836</v>
      </c>
      <c r="I8" s="87">
        <f>M100+I4*$G$132</f>
        <v>41174041.821759239</v>
      </c>
    </row>
    <row r="9" spans="1:14" s="105" customFormat="1" ht="15" x14ac:dyDescent="0.25">
      <c r="B9" s="84" t="s">
        <v>82</v>
      </c>
      <c r="D9" s="105" t="s">
        <v>52</v>
      </c>
      <c r="F9" s="87">
        <f>$G$150*F4</f>
        <v>467775</v>
      </c>
      <c r="G9" s="87">
        <f>$G$150*G4</f>
        <v>4677750</v>
      </c>
      <c r="H9" s="87">
        <f>$G$150*H4</f>
        <v>23388750</v>
      </c>
      <c r="I9" s="87">
        <f>$G$150*I4</f>
        <v>46777500</v>
      </c>
    </row>
    <row r="10" spans="1:14" s="105" customFormat="1" ht="15" x14ac:dyDescent="0.25">
      <c r="B10" s="84" t="s">
        <v>83</v>
      </c>
      <c r="D10" s="105" t="s">
        <v>53</v>
      </c>
      <c r="F10" s="87">
        <v>0</v>
      </c>
      <c r="G10" s="87">
        <v>0</v>
      </c>
      <c r="H10" s="87">
        <v>0</v>
      </c>
      <c r="I10" s="87">
        <v>0</v>
      </c>
    </row>
    <row r="11" spans="1:14" s="105" customFormat="1" ht="15" x14ac:dyDescent="0.25"/>
    <row r="12" spans="1:14" s="105" customFormat="1" ht="15" x14ac:dyDescent="0.25"/>
    <row r="13" spans="1:14" s="17" customFormat="1" ht="15" x14ac:dyDescent="0.25">
      <c r="G13" s="31"/>
      <c r="H13" s="31"/>
      <c r="I13" s="31"/>
      <c r="J13" s="31"/>
      <c r="K13" s="397" t="s">
        <v>685</v>
      </c>
    </row>
    <row r="14" spans="1:14" s="17" customFormat="1" ht="15" x14ac:dyDescent="0.25">
      <c r="A14" s="18" t="s">
        <v>78</v>
      </c>
      <c r="B14" s="18" t="s">
        <v>178</v>
      </c>
      <c r="E14" s="17" t="s">
        <v>667</v>
      </c>
      <c r="F14" s="110" t="s">
        <v>155</v>
      </c>
      <c r="G14" s="220" t="s">
        <v>247</v>
      </c>
      <c r="H14" s="220" t="s">
        <v>249</v>
      </c>
      <c r="I14" s="220" t="s">
        <v>248</v>
      </c>
      <c r="J14" s="31"/>
      <c r="K14" s="407">
        <v>1</v>
      </c>
      <c r="L14" s="407">
        <v>10</v>
      </c>
      <c r="M14" s="407">
        <v>50</v>
      </c>
      <c r="N14" s="407">
        <v>100</v>
      </c>
    </row>
    <row r="15" spans="1:14" s="17" customFormat="1" ht="15" x14ac:dyDescent="0.25">
      <c r="C15" s="17" t="s">
        <v>23</v>
      </c>
      <c r="E15" s="17">
        <v>21</v>
      </c>
      <c r="F15" s="415">
        <v>25000</v>
      </c>
      <c r="G15" s="415">
        <f>F15*10*0.9</f>
        <v>225000</v>
      </c>
      <c r="H15" s="415">
        <f>G15*5</f>
        <v>1125000</v>
      </c>
      <c r="I15" s="415">
        <f>H15*2</f>
        <v>2250000</v>
      </c>
      <c r="J15" s="31"/>
      <c r="K15" s="17">
        <f>E15</f>
        <v>21</v>
      </c>
      <c r="L15" s="17">
        <f>$K15*L$14</f>
        <v>210</v>
      </c>
      <c r="M15" s="391">
        <f t="shared" ref="M15:N15" si="1">$K15*M$14</f>
        <v>1050</v>
      </c>
      <c r="N15" s="391">
        <f t="shared" si="1"/>
        <v>2100</v>
      </c>
    </row>
    <row r="16" spans="1:14" s="118" customFormat="1" ht="15" x14ac:dyDescent="0.25">
      <c r="C16" s="118" t="s">
        <v>543</v>
      </c>
      <c r="E16" s="118">
        <v>171</v>
      </c>
      <c r="F16" s="415">
        <f>5850*7</f>
        <v>40950</v>
      </c>
      <c r="G16" s="415">
        <f>F16*10</f>
        <v>409500</v>
      </c>
      <c r="H16" s="415">
        <f>F16*50</f>
        <v>2047500</v>
      </c>
      <c r="I16" s="415">
        <f>F16*100</f>
        <v>4095000</v>
      </c>
      <c r="J16" s="91"/>
      <c r="K16" s="391">
        <f t="shared" ref="K16:K19" si="2">E16</f>
        <v>171</v>
      </c>
      <c r="L16" s="391">
        <f>$K16*L$14</f>
        <v>1710</v>
      </c>
      <c r="M16" s="391">
        <f>$K16*M$14</f>
        <v>8550</v>
      </c>
      <c r="N16" s="391">
        <f>$K16*N$14</f>
        <v>17100</v>
      </c>
    </row>
    <row r="17" spans="1:14" s="118" customFormat="1" ht="15" x14ac:dyDescent="0.25">
      <c r="C17" s="118" t="s">
        <v>544</v>
      </c>
      <c r="E17" s="118">
        <v>32</v>
      </c>
      <c r="F17" s="415">
        <v>7500</v>
      </c>
      <c r="G17" s="415">
        <f>F17*10</f>
        <v>75000</v>
      </c>
      <c r="H17" s="415">
        <f>F17*50</f>
        <v>375000</v>
      </c>
      <c r="I17" s="415">
        <f>F17*100</f>
        <v>750000</v>
      </c>
      <c r="J17" s="91"/>
      <c r="K17" s="391">
        <f t="shared" si="2"/>
        <v>32</v>
      </c>
      <c r="L17" s="391">
        <f>$K17*L$14</f>
        <v>320</v>
      </c>
      <c r="M17" s="391">
        <f>$K17*M$14</f>
        <v>1600</v>
      </c>
      <c r="N17" s="391">
        <f>$K17*N$14</f>
        <v>3200</v>
      </c>
    </row>
    <row r="18" spans="1:14" s="118" customFormat="1" ht="15" x14ac:dyDescent="0.25">
      <c r="C18" s="118" t="s">
        <v>542</v>
      </c>
      <c r="E18" s="118">
        <v>673</v>
      </c>
      <c r="G18" s="91"/>
      <c r="H18" s="91"/>
      <c r="I18" s="91"/>
      <c r="J18" s="91"/>
      <c r="K18" s="391">
        <f t="shared" si="2"/>
        <v>673</v>
      </c>
      <c r="L18" s="391">
        <v>1217</v>
      </c>
      <c r="M18" s="391">
        <v>3263</v>
      </c>
      <c r="N18" s="391">
        <v>6527</v>
      </c>
    </row>
    <row r="19" spans="1:14" s="118" customFormat="1" ht="15" x14ac:dyDescent="0.25">
      <c r="C19" s="118" t="s">
        <v>45</v>
      </c>
      <c r="E19" s="395">
        <f>2880*18.2/1000</f>
        <v>52.415999999999997</v>
      </c>
      <c r="G19" s="91"/>
      <c r="H19" s="91"/>
      <c r="I19" s="91"/>
      <c r="J19" s="91"/>
      <c r="K19" s="395">
        <f t="shared" si="2"/>
        <v>52.415999999999997</v>
      </c>
      <c r="L19" s="395">
        <f>$K19*L$14</f>
        <v>524.16</v>
      </c>
      <c r="M19" s="395">
        <f>$K19*M$14</f>
        <v>2620.7999999999997</v>
      </c>
      <c r="N19" s="395">
        <f>$K19*N$14</f>
        <v>5241.5999999999995</v>
      </c>
    </row>
    <row r="20" spans="1:14" s="17" customFormat="1" ht="15" x14ac:dyDescent="0.25">
      <c r="F20" s="104"/>
      <c r="G20" s="104"/>
      <c r="H20" s="104"/>
      <c r="I20" s="104"/>
      <c r="J20" s="31"/>
    </row>
    <row r="21" spans="1:14" s="17" customFormat="1" ht="15" x14ac:dyDescent="0.25">
      <c r="C21" s="401" t="s">
        <v>86</v>
      </c>
      <c r="D21" s="401"/>
      <c r="E21" s="366">
        <f>SUM(E15:E19)</f>
        <v>949.41599999999994</v>
      </c>
      <c r="F21" s="387">
        <f>SUM(F15:F19)</f>
        <v>73450</v>
      </c>
      <c r="G21" s="387">
        <f t="shared" ref="G21:I21" si="3">SUM(G15:G19)</f>
        <v>709500</v>
      </c>
      <c r="H21" s="387">
        <f t="shared" si="3"/>
        <v>3547500</v>
      </c>
      <c r="I21" s="387">
        <f t="shared" si="3"/>
        <v>7095000</v>
      </c>
      <c r="J21" s="31"/>
      <c r="K21" s="386">
        <f>SUM(K15:K19)</f>
        <v>949.41599999999994</v>
      </c>
      <c r="L21" s="386">
        <f t="shared" ref="L21:N21" si="4">SUM(L15:L19)</f>
        <v>3981.16</v>
      </c>
      <c r="M21" s="386">
        <f t="shared" si="4"/>
        <v>17083.8</v>
      </c>
      <c r="N21" s="386">
        <f t="shared" si="4"/>
        <v>34168.6</v>
      </c>
    </row>
    <row r="22" spans="1:14" s="17" customFormat="1" ht="15" x14ac:dyDescent="0.25">
      <c r="G22" s="31"/>
      <c r="H22" s="31"/>
      <c r="I22" s="31"/>
      <c r="J22" s="31"/>
    </row>
    <row r="23" spans="1:14" s="17" customFormat="1" ht="15" x14ac:dyDescent="0.25">
      <c r="A23" s="18" t="s">
        <v>79</v>
      </c>
      <c r="B23" s="18" t="s">
        <v>171</v>
      </c>
      <c r="G23" s="31"/>
      <c r="H23" s="31"/>
      <c r="I23" s="31"/>
      <c r="J23" s="31"/>
    </row>
    <row r="24" spans="1:14" s="17" customFormat="1" ht="15" x14ac:dyDescent="0.25">
      <c r="G24" s="31"/>
      <c r="H24" s="31"/>
      <c r="I24" s="31"/>
      <c r="J24" s="31"/>
    </row>
    <row r="25" spans="1:14" s="17" customFormat="1" ht="15" x14ac:dyDescent="0.25">
      <c r="B25" s="17" t="s">
        <v>158</v>
      </c>
      <c r="G25" s="31"/>
      <c r="H25" s="31"/>
      <c r="I25" s="31"/>
      <c r="J25" s="31"/>
    </row>
    <row r="26" spans="1:14" s="118" customFormat="1" ht="15" x14ac:dyDescent="0.25">
      <c r="B26" s="118" t="s">
        <v>587</v>
      </c>
      <c r="G26" s="91"/>
      <c r="H26" s="91"/>
      <c r="I26" s="91"/>
      <c r="J26" s="91"/>
    </row>
    <row r="27" spans="1:14" s="118" customFormat="1" ht="15" x14ac:dyDescent="0.25">
      <c r="B27" s="118" t="s">
        <v>381</v>
      </c>
      <c r="G27" s="91"/>
      <c r="H27" s="91"/>
      <c r="I27" s="91"/>
      <c r="J27" s="91"/>
    </row>
    <row r="28" spans="1:14" s="17" customFormat="1" ht="15" x14ac:dyDescent="0.25">
      <c r="B28" s="32" t="s">
        <v>172</v>
      </c>
      <c r="G28" s="31"/>
      <c r="H28" s="31"/>
      <c r="I28" s="31"/>
      <c r="J28" s="31"/>
    </row>
    <row r="29" spans="1:14" s="17" customFormat="1" ht="15" x14ac:dyDescent="0.25">
      <c r="B29" s="32" t="s">
        <v>250</v>
      </c>
      <c r="G29" s="31"/>
      <c r="H29" s="31"/>
      <c r="I29" s="31"/>
      <c r="J29" s="31"/>
    </row>
    <row r="30" spans="1:14" s="17" customFormat="1" ht="15" x14ac:dyDescent="0.25">
      <c r="B30" s="32" t="s">
        <v>251</v>
      </c>
      <c r="G30" s="31"/>
      <c r="H30" s="31"/>
      <c r="I30" s="31"/>
      <c r="J30" s="31"/>
    </row>
    <row r="31" spans="1:14" s="17" customFormat="1" ht="15" x14ac:dyDescent="0.25">
      <c r="B31" s="32" t="s">
        <v>252</v>
      </c>
      <c r="G31" s="31"/>
      <c r="H31" s="31"/>
      <c r="I31" s="31"/>
      <c r="J31" s="31"/>
    </row>
    <row r="32" spans="1:14" s="17" customFormat="1" ht="15" x14ac:dyDescent="0.25">
      <c r="B32" s="32" t="s">
        <v>174</v>
      </c>
      <c r="G32" s="31"/>
      <c r="H32" s="31"/>
      <c r="I32" s="31"/>
      <c r="J32" s="31"/>
    </row>
    <row r="33" spans="1:10" s="17" customFormat="1" ht="15" x14ac:dyDescent="0.25">
      <c r="G33" s="31"/>
      <c r="H33" s="31"/>
      <c r="I33" s="31"/>
      <c r="J33" s="31"/>
    </row>
    <row r="34" spans="1:10" s="17" customFormat="1" ht="15" x14ac:dyDescent="0.25">
      <c r="B34" s="32"/>
      <c r="F34" s="110" t="s">
        <v>155</v>
      </c>
      <c r="G34" s="220" t="s">
        <v>247</v>
      </c>
      <c r="H34" s="220" t="s">
        <v>249</v>
      </c>
      <c r="I34" s="220" t="s">
        <v>248</v>
      </c>
      <c r="J34" s="31"/>
    </row>
    <row r="35" spans="1:10" s="118" customFormat="1" ht="15" x14ac:dyDescent="0.25">
      <c r="B35" s="32"/>
      <c r="F35" s="110"/>
      <c r="G35" s="220"/>
      <c r="H35" s="220"/>
      <c r="I35" s="220"/>
      <c r="J35" s="91"/>
    </row>
    <row r="36" spans="1:10" s="17" customFormat="1" ht="15.75" customHeight="1" x14ac:dyDescent="0.25">
      <c r="B36" s="27" t="s">
        <v>545</v>
      </c>
      <c r="C36" s="27"/>
      <c r="D36" s="27"/>
      <c r="E36" s="27"/>
      <c r="F36" s="365">
        <v>667000</v>
      </c>
      <c r="G36" s="365">
        <v>767200</v>
      </c>
      <c r="H36" s="365">
        <v>1534000</v>
      </c>
      <c r="I36" s="365">
        <v>2301600</v>
      </c>
      <c r="J36" s="31"/>
    </row>
    <row r="37" spans="1:10" s="17" customFormat="1" ht="15" x14ac:dyDescent="0.25">
      <c r="G37" s="31"/>
      <c r="H37" s="31"/>
      <c r="I37" s="31"/>
      <c r="J37" s="31"/>
    </row>
    <row r="38" spans="1:10" s="17" customFormat="1" ht="15" x14ac:dyDescent="0.25">
      <c r="G38" s="31"/>
      <c r="H38" s="31"/>
      <c r="I38" s="31"/>
      <c r="J38" s="31"/>
    </row>
    <row r="39" spans="1:10" ht="15" x14ac:dyDescent="0.25">
      <c r="A39" s="18" t="s">
        <v>80</v>
      </c>
      <c r="B39" s="18" t="s">
        <v>382</v>
      </c>
    </row>
    <row r="40" spans="1:10" s="17" customFormat="1" ht="15" x14ac:dyDescent="0.25">
      <c r="A40" s="18"/>
      <c r="B40" s="18"/>
    </row>
    <row r="41" spans="1:10" s="17" customFormat="1" ht="15" x14ac:dyDescent="0.25">
      <c r="A41" s="18"/>
      <c r="B41" s="20" t="s">
        <v>158</v>
      </c>
    </row>
    <row r="42" spans="1:10" s="17" customFormat="1" ht="15" x14ac:dyDescent="0.25">
      <c r="A42" s="18"/>
      <c r="B42" s="17" t="s">
        <v>546</v>
      </c>
    </row>
    <row r="43" spans="1:10" s="17" customFormat="1" ht="15" x14ac:dyDescent="0.25">
      <c r="A43" s="18"/>
      <c r="B43" s="17" t="s">
        <v>547</v>
      </c>
    </row>
    <row r="44" spans="1:10" s="17" customFormat="1" ht="15" x14ac:dyDescent="0.25">
      <c r="A44" s="18"/>
      <c r="B44" s="17" t="s">
        <v>383</v>
      </c>
    </row>
    <row r="45" spans="1:10" s="17" customFormat="1" ht="15" x14ac:dyDescent="0.25">
      <c r="A45" s="18"/>
      <c r="B45" s="17" t="s">
        <v>384</v>
      </c>
    </row>
    <row r="46" spans="1:10" s="118" customFormat="1" ht="17.25" customHeight="1" x14ac:dyDescent="0.25">
      <c r="A46" s="106"/>
      <c r="B46" s="118" t="s">
        <v>389</v>
      </c>
    </row>
    <row r="47" spans="1:10" s="17" customFormat="1" ht="15" x14ac:dyDescent="0.25">
      <c r="A47" s="18"/>
      <c r="B47" s="17" t="s">
        <v>170</v>
      </c>
    </row>
    <row r="48" spans="1:10" s="17" customFormat="1" ht="15" x14ac:dyDescent="0.25">
      <c r="A48" s="18"/>
    </row>
    <row r="49" spans="1:21" s="17" customFormat="1" ht="15" x14ac:dyDescent="0.25">
      <c r="A49" s="18"/>
      <c r="B49" s="20" t="s">
        <v>392</v>
      </c>
      <c r="C49" s="7"/>
      <c r="D49" s="7"/>
      <c r="E49" s="110">
        <v>1</v>
      </c>
      <c r="F49" s="84" t="s">
        <v>390</v>
      </c>
      <c r="G49" s="110"/>
      <c r="H49" s="110">
        <v>10</v>
      </c>
      <c r="I49" s="84" t="s">
        <v>68</v>
      </c>
      <c r="J49" s="110"/>
      <c r="K49" s="110">
        <v>50</v>
      </c>
      <c r="L49" s="84" t="s">
        <v>68</v>
      </c>
      <c r="M49" s="110"/>
      <c r="N49" s="110">
        <v>100</v>
      </c>
      <c r="O49" s="84" t="s">
        <v>68</v>
      </c>
      <c r="P49" s="110"/>
    </row>
    <row r="50" spans="1:21" s="17" customFormat="1" ht="15" x14ac:dyDescent="0.25">
      <c r="A50" s="18"/>
      <c r="B50" s="7"/>
      <c r="C50" s="7"/>
      <c r="D50" s="7"/>
      <c r="E50" s="110" t="s">
        <v>455</v>
      </c>
      <c r="F50" s="110" t="s">
        <v>454</v>
      </c>
      <c r="G50" s="110" t="s">
        <v>84</v>
      </c>
      <c r="H50" s="110" t="s">
        <v>455</v>
      </c>
      <c r="I50" s="110" t="s">
        <v>454</v>
      </c>
      <c r="J50" s="110" t="s">
        <v>84</v>
      </c>
      <c r="K50" s="110" t="s">
        <v>455</v>
      </c>
      <c r="L50" s="110" t="s">
        <v>454</v>
      </c>
      <c r="M50" s="110" t="s">
        <v>84</v>
      </c>
      <c r="N50" s="110" t="s">
        <v>455</v>
      </c>
      <c r="O50" s="110" t="s">
        <v>454</v>
      </c>
      <c r="P50" s="110" t="s">
        <v>84</v>
      </c>
    </row>
    <row r="51" spans="1:21" s="17" customFormat="1" ht="15" x14ac:dyDescent="0.25">
      <c r="A51" s="18"/>
      <c r="B51" s="7"/>
      <c r="C51" s="7" t="s">
        <v>142</v>
      </c>
      <c r="D51" s="7"/>
      <c r="E51" s="410">
        <v>124225</v>
      </c>
      <c r="F51" s="115">
        <f>J61+J63+J71</f>
        <v>10</v>
      </c>
      <c r="G51" s="410">
        <f>E51*F51</f>
        <v>1242250</v>
      </c>
      <c r="H51" s="410">
        <f>E51</f>
        <v>124225</v>
      </c>
      <c r="I51" s="115">
        <f>M61+M63+M71</f>
        <v>28</v>
      </c>
      <c r="J51" s="410">
        <f>H51*I51</f>
        <v>3478300</v>
      </c>
      <c r="K51" s="410">
        <f>E51</f>
        <v>124225</v>
      </c>
      <c r="L51" s="115">
        <f>P61+P63+P71</f>
        <v>108</v>
      </c>
      <c r="M51" s="410">
        <f>L51*K51</f>
        <v>13416300</v>
      </c>
      <c r="N51" s="410">
        <f>E51</f>
        <v>124225</v>
      </c>
      <c r="O51" s="115">
        <f>S61+S63+S71</f>
        <v>208</v>
      </c>
      <c r="P51" s="410">
        <f>O51*N51</f>
        <v>25838800</v>
      </c>
    </row>
    <row r="52" spans="1:21" s="17" customFormat="1" ht="15" x14ac:dyDescent="0.25">
      <c r="A52" s="18"/>
      <c r="B52" s="7"/>
      <c r="C52" s="7" t="s">
        <v>143</v>
      </c>
      <c r="D52" s="7"/>
      <c r="E52" s="410">
        <v>117000</v>
      </c>
      <c r="F52" s="115">
        <f>J62+J64+J70</f>
        <v>4.5</v>
      </c>
      <c r="G52" s="410">
        <f>E52*F52</f>
        <v>526500</v>
      </c>
      <c r="H52" s="410">
        <f t="shared" ref="H52:H54" si="5">E52</f>
        <v>117000</v>
      </c>
      <c r="I52" s="115">
        <f>M62+M64+M70</f>
        <v>9</v>
      </c>
      <c r="J52" s="410">
        <f t="shared" ref="J52:J54" si="6">H52*I52</f>
        <v>1053000</v>
      </c>
      <c r="K52" s="410">
        <f t="shared" ref="K52:K54" si="7">E52</f>
        <v>117000</v>
      </c>
      <c r="L52" s="115">
        <f>P62+P64+P70</f>
        <v>29</v>
      </c>
      <c r="M52" s="410">
        <f t="shared" ref="M52:M54" si="8">L52*K52</f>
        <v>3393000</v>
      </c>
      <c r="N52" s="410">
        <f t="shared" ref="N52:N54" si="9">E52</f>
        <v>117000</v>
      </c>
      <c r="O52" s="115">
        <f>S62+S64+S70</f>
        <v>54</v>
      </c>
      <c r="P52" s="410">
        <f t="shared" ref="P52:P54" si="10">O52*N52</f>
        <v>6318000</v>
      </c>
    </row>
    <row r="53" spans="1:21" s="17" customFormat="1" ht="15" x14ac:dyDescent="0.25">
      <c r="A53" s="18"/>
      <c r="B53" s="7"/>
      <c r="C53" s="7" t="s">
        <v>391</v>
      </c>
      <c r="D53" s="7"/>
      <c r="E53" s="410">
        <v>141550</v>
      </c>
      <c r="F53" s="115">
        <f>SUM(J65:J69)</f>
        <v>3.2166666666666668</v>
      </c>
      <c r="G53" s="410">
        <f t="shared" ref="G53:G54" si="11">E53*F53</f>
        <v>455319.16666666669</v>
      </c>
      <c r="H53" s="410">
        <f t="shared" si="5"/>
        <v>141550</v>
      </c>
      <c r="I53" s="115">
        <f>SUM(M65:M69)</f>
        <v>32.166666666666671</v>
      </c>
      <c r="J53" s="410">
        <f t="shared" si="6"/>
        <v>4553191.666666667</v>
      </c>
      <c r="K53" s="410">
        <f t="shared" si="7"/>
        <v>141550</v>
      </c>
      <c r="L53" s="115">
        <f>SUM(P65:P69)</f>
        <v>160.83333333333334</v>
      </c>
      <c r="M53" s="410">
        <f t="shared" si="8"/>
        <v>22765958.333333336</v>
      </c>
      <c r="N53" s="410">
        <f t="shared" si="9"/>
        <v>141550</v>
      </c>
      <c r="O53" s="115">
        <f>SUM(S65:S69)</f>
        <v>321.66666666666669</v>
      </c>
      <c r="P53" s="410">
        <f t="shared" si="10"/>
        <v>45531916.666666672</v>
      </c>
    </row>
    <row r="54" spans="1:21" s="17" customFormat="1" ht="15" x14ac:dyDescent="0.25">
      <c r="A54" s="18"/>
      <c r="B54" s="7"/>
      <c r="C54" s="7" t="s">
        <v>144</v>
      </c>
      <c r="D54" s="90">
        <v>0.15</v>
      </c>
      <c r="E54" s="410">
        <v>127605</v>
      </c>
      <c r="F54" s="115">
        <f>SUM(F51:F53)*D54</f>
        <v>2.6575000000000002</v>
      </c>
      <c r="G54" s="410">
        <f t="shared" si="11"/>
        <v>339110.28750000003</v>
      </c>
      <c r="H54" s="410">
        <f t="shared" si="5"/>
        <v>127605</v>
      </c>
      <c r="I54" s="115">
        <f>SUM(I51:I53)*$D54</f>
        <v>10.375</v>
      </c>
      <c r="J54" s="410">
        <f t="shared" si="6"/>
        <v>1323901.875</v>
      </c>
      <c r="K54" s="410">
        <f t="shared" si="7"/>
        <v>127605</v>
      </c>
      <c r="L54" s="115">
        <f>SUM(L51:L53)*D54</f>
        <v>44.675000000000004</v>
      </c>
      <c r="M54" s="410">
        <f t="shared" si="8"/>
        <v>5700753.3750000009</v>
      </c>
      <c r="N54" s="410">
        <f t="shared" si="9"/>
        <v>127605</v>
      </c>
      <c r="O54" s="115">
        <f>SUM(O51:O53)*D54</f>
        <v>87.550000000000011</v>
      </c>
      <c r="P54" s="410">
        <f t="shared" si="10"/>
        <v>11171817.750000002</v>
      </c>
    </row>
    <row r="55" spans="1:21" s="118" customFormat="1" ht="15" x14ac:dyDescent="0.25">
      <c r="A55" s="106"/>
      <c r="C55" s="118" t="s">
        <v>456</v>
      </c>
      <c r="D55" s="90"/>
      <c r="E55" s="410"/>
      <c r="F55" s="115"/>
      <c r="G55" s="410">
        <v>242200</v>
      </c>
      <c r="H55" s="411"/>
      <c r="I55" s="411"/>
      <c r="J55" s="410">
        <f>G55</f>
        <v>242200</v>
      </c>
      <c r="K55" s="411"/>
      <c r="L55" s="411"/>
      <c r="M55" s="410">
        <f>G55</f>
        <v>242200</v>
      </c>
      <c r="N55" s="411"/>
      <c r="O55" s="411"/>
      <c r="P55" s="410">
        <f>G55</f>
        <v>242200</v>
      </c>
    </row>
    <row r="56" spans="1:21" s="118" customFormat="1" ht="15" x14ac:dyDescent="0.25">
      <c r="A56" s="106"/>
      <c r="D56" s="90"/>
      <c r="E56" s="410"/>
      <c r="F56" s="115"/>
      <c r="G56" s="411"/>
      <c r="H56" s="411"/>
      <c r="I56" s="411"/>
      <c r="J56" s="411"/>
      <c r="K56" s="411"/>
      <c r="L56" s="411"/>
      <c r="M56" s="411"/>
      <c r="N56" s="411"/>
      <c r="O56" s="411"/>
      <c r="P56" s="411"/>
    </row>
    <row r="57" spans="1:21" s="118" customFormat="1" ht="15" x14ac:dyDescent="0.25">
      <c r="A57" s="106"/>
      <c r="C57" s="118" t="s">
        <v>86</v>
      </c>
      <c r="D57" s="90"/>
      <c r="E57" s="410"/>
      <c r="F57" s="115">
        <f>SUM(F51:F54)</f>
        <v>20.374166666666667</v>
      </c>
      <c r="G57" s="410">
        <f>SUM(G51:G55)</f>
        <v>2805379.4541666666</v>
      </c>
      <c r="H57" s="411"/>
      <c r="I57" s="115">
        <f>SUM(I51:I55)</f>
        <v>79.541666666666671</v>
      </c>
      <c r="J57" s="410">
        <f t="shared" ref="J57:P57" si="12">SUM(J51:J55)</f>
        <v>10650593.541666668</v>
      </c>
      <c r="K57" s="115"/>
      <c r="L57" s="115">
        <f t="shared" si="12"/>
        <v>342.50833333333338</v>
      </c>
      <c r="M57" s="410">
        <f t="shared" si="12"/>
        <v>45518211.708333336</v>
      </c>
      <c r="N57" s="115"/>
      <c r="O57" s="115">
        <f t="shared" si="12"/>
        <v>671.2166666666667</v>
      </c>
      <c r="P57" s="410">
        <f t="shared" si="12"/>
        <v>89102734.416666672</v>
      </c>
    </row>
    <row r="58" spans="1:21" s="17" customFormat="1" ht="15" x14ac:dyDescent="0.25">
      <c r="A58" s="18"/>
      <c r="B58" s="18"/>
    </row>
    <row r="59" spans="1:21" s="17" customFormat="1" x14ac:dyDescent="0.3">
      <c r="A59" s="18"/>
      <c r="B59" s="20" t="s">
        <v>167</v>
      </c>
      <c r="J59" s="17">
        <v>1</v>
      </c>
      <c r="K59" s="17" t="s">
        <v>390</v>
      </c>
      <c r="M59" s="118">
        <v>10</v>
      </c>
      <c r="N59" s="118" t="s">
        <v>390</v>
      </c>
      <c r="O59" s="118"/>
      <c r="P59" s="118">
        <v>50</v>
      </c>
      <c r="Q59" s="118" t="s">
        <v>390</v>
      </c>
      <c r="R59" s="118"/>
      <c r="S59" s="118">
        <v>100</v>
      </c>
      <c r="T59" s="118" t="s">
        <v>390</v>
      </c>
      <c r="U59" s="118"/>
    </row>
    <row r="60" spans="1:21" x14ac:dyDescent="0.3">
      <c r="J60" s="7" t="s">
        <v>139</v>
      </c>
      <c r="K60" s="7" t="s">
        <v>140</v>
      </c>
      <c r="L60" s="7" t="s">
        <v>84</v>
      </c>
      <c r="M60" s="118" t="s">
        <v>139</v>
      </c>
      <c r="N60" s="118" t="s">
        <v>140</v>
      </c>
      <c r="O60" s="118" t="s">
        <v>84</v>
      </c>
      <c r="P60" s="118" t="s">
        <v>139</v>
      </c>
      <c r="Q60" s="118" t="s">
        <v>140</v>
      </c>
      <c r="R60" s="118" t="s">
        <v>84</v>
      </c>
      <c r="S60" s="118" t="s">
        <v>139</v>
      </c>
      <c r="T60" s="118" t="s">
        <v>140</v>
      </c>
      <c r="U60" s="118" t="s">
        <v>84</v>
      </c>
    </row>
    <row r="61" spans="1:21" x14ac:dyDescent="0.3">
      <c r="B61" s="7">
        <v>1</v>
      </c>
      <c r="C61" s="7" t="s">
        <v>668</v>
      </c>
      <c r="F61" s="411"/>
      <c r="G61" s="411"/>
      <c r="H61" s="411"/>
      <c r="I61" s="411"/>
      <c r="J61" s="115">
        <v>5</v>
      </c>
      <c r="K61" s="410">
        <f>E51</f>
        <v>124225</v>
      </c>
      <c r="L61" s="410">
        <f>J61*K61</f>
        <v>621125</v>
      </c>
      <c r="M61" s="115">
        <v>5</v>
      </c>
      <c r="N61" s="410">
        <f>K61</f>
        <v>124225</v>
      </c>
      <c r="O61" s="410">
        <f>M61*N61</f>
        <v>621125</v>
      </c>
      <c r="P61" s="115">
        <v>5</v>
      </c>
      <c r="Q61" s="410">
        <f>K61</f>
        <v>124225</v>
      </c>
      <c r="R61" s="410">
        <f t="shared" ref="R61:R72" si="13">P61*Q61</f>
        <v>621125</v>
      </c>
      <c r="S61" s="115">
        <v>5</v>
      </c>
      <c r="T61" s="410">
        <f>K61</f>
        <v>124225</v>
      </c>
      <c r="U61" s="410">
        <f>S61*T61</f>
        <v>621125</v>
      </c>
    </row>
    <row r="62" spans="1:21" x14ac:dyDescent="0.3">
      <c r="B62" s="7">
        <v>2</v>
      </c>
      <c r="C62" s="7" t="s">
        <v>669</v>
      </c>
      <c r="F62" s="411"/>
      <c r="G62" s="411"/>
      <c r="H62" s="411"/>
      <c r="I62" s="411"/>
      <c r="J62" s="115">
        <v>4</v>
      </c>
      <c r="K62" s="410">
        <f>E52</f>
        <v>117000</v>
      </c>
      <c r="L62" s="410">
        <f t="shared" ref="L62:L63" si="14">J62*K62</f>
        <v>468000</v>
      </c>
      <c r="M62" s="115">
        <v>4</v>
      </c>
      <c r="N62" s="410">
        <f t="shared" ref="N62:N72" si="15">K62</f>
        <v>117000</v>
      </c>
      <c r="O62" s="410">
        <f t="shared" ref="O62:O72" si="16">M62*N62</f>
        <v>468000</v>
      </c>
      <c r="P62" s="115">
        <v>4</v>
      </c>
      <c r="Q62" s="410">
        <f t="shared" ref="Q62:Q72" si="17">K62</f>
        <v>117000</v>
      </c>
      <c r="R62" s="410">
        <f t="shared" si="13"/>
        <v>468000</v>
      </c>
      <c r="S62" s="115">
        <v>4</v>
      </c>
      <c r="T62" s="410">
        <f t="shared" ref="T62:T72" si="18">K62</f>
        <v>117000</v>
      </c>
      <c r="U62" s="410">
        <f t="shared" ref="U62:U72" si="19">S62*T62</f>
        <v>468000</v>
      </c>
    </row>
    <row r="63" spans="1:21" s="118" customFormat="1" x14ac:dyDescent="0.3">
      <c r="B63" s="118">
        <v>3</v>
      </c>
      <c r="C63" s="118" t="s">
        <v>670</v>
      </c>
      <c r="F63" s="115">
        <v>2</v>
      </c>
      <c r="G63" s="411" t="s">
        <v>450</v>
      </c>
      <c r="H63" s="411" t="s">
        <v>173</v>
      </c>
      <c r="I63" s="411"/>
      <c r="J63" s="115">
        <f>F63*J$59</f>
        <v>2</v>
      </c>
      <c r="K63" s="410">
        <f>E51</f>
        <v>124225</v>
      </c>
      <c r="L63" s="410">
        <f t="shared" si="14"/>
        <v>248450</v>
      </c>
      <c r="M63" s="115">
        <f>M$59*F63</f>
        <v>20</v>
      </c>
      <c r="N63" s="410">
        <f t="shared" si="15"/>
        <v>124225</v>
      </c>
      <c r="O63" s="410">
        <f t="shared" si="16"/>
        <v>2484500</v>
      </c>
      <c r="P63" s="115">
        <f>F63*P$59</f>
        <v>100</v>
      </c>
      <c r="Q63" s="410">
        <f t="shared" si="17"/>
        <v>124225</v>
      </c>
      <c r="R63" s="410">
        <f>P63*Q63</f>
        <v>12422500</v>
      </c>
      <c r="S63" s="115">
        <f>F63*S$59</f>
        <v>200</v>
      </c>
      <c r="T63" s="410">
        <f t="shared" si="18"/>
        <v>124225</v>
      </c>
      <c r="U63" s="410">
        <f t="shared" si="19"/>
        <v>24845000</v>
      </c>
    </row>
    <row r="64" spans="1:21" x14ac:dyDescent="0.3">
      <c r="B64" s="7">
        <v>4</v>
      </c>
      <c r="C64" s="7" t="s">
        <v>671</v>
      </c>
      <c r="F64" s="115">
        <v>0.25</v>
      </c>
      <c r="G64" s="411" t="s">
        <v>450</v>
      </c>
      <c r="H64" s="411"/>
      <c r="I64" s="411"/>
      <c r="J64" s="115">
        <f t="shared" ref="J64:J70" si="20">F64*J$59</f>
        <v>0.25</v>
      </c>
      <c r="K64" s="410">
        <f>E52</f>
        <v>117000</v>
      </c>
      <c r="L64" s="410">
        <f>J64*K64</f>
        <v>29250</v>
      </c>
      <c r="M64" s="115">
        <f t="shared" ref="M64:M70" si="21">M$59*F64</f>
        <v>2.5</v>
      </c>
      <c r="N64" s="410">
        <f t="shared" si="15"/>
        <v>117000</v>
      </c>
      <c r="O64" s="410">
        <f t="shared" si="16"/>
        <v>292500</v>
      </c>
      <c r="P64" s="115">
        <f t="shared" ref="P64:P70" si="22">F64*P$59</f>
        <v>12.5</v>
      </c>
      <c r="Q64" s="410">
        <f t="shared" si="17"/>
        <v>117000</v>
      </c>
      <c r="R64" s="410">
        <f t="shared" ref="R64:R70" si="23">P64*Q64</f>
        <v>1462500</v>
      </c>
      <c r="S64" s="115">
        <f t="shared" ref="S64:S70" si="24">F64*S$59</f>
        <v>25</v>
      </c>
      <c r="T64" s="410">
        <f t="shared" si="18"/>
        <v>117000</v>
      </c>
      <c r="U64" s="410">
        <f t="shared" si="19"/>
        <v>2925000</v>
      </c>
    </row>
    <row r="65" spans="2:21" s="118" customFormat="1" x14ac:dyDescent="0.3">
      <c r="B65" s="118">
        <v>5</v>
      </c>
      <c r="C65" s="118" t="s">
        <v>672</v>
      </c>
      <c r="F65" s="115">
        <v>1</v>
      </c>
      <c r="G65" s="411" t="s">
        <v>449</v>
      </c>
      <c r="H65" s="411"/>
      <c r="I65" s="411"/>
      <c r="J65" s="115">
        <f t="shared" si="20"/>
        <v>1</v>
      </c>
      <c r="K65" s="410">
        <f>E53</f>
        <v>141550</v>
      </c>
      <c r="L65" s="410">
        <f t="shared" ref="L65:L72" si="25">J65*K65</f>
        <v>141550</v>
      </c>
      <c r="M65" s="115">
        <f t="shared" si="21"/>
        <v>10</v>
      </c>
      <c r="N65" s="410">
        <f t="shared" si="15"/>
        <v>141550</v>
      </c>
      <c r="O65" s="410">
        <f t="shared" si="16"/>
        <v>1415500</v>
      </c>
      <c r="P65" s="115">
        <f t="shared" si="22"/>
        <v>50</v>
      </c>
      <c r="Q65" s="410">
        <f t="shared" si="17"/>
        <v>141550</v>
      </c>
      <c r="R65" s="410">
        <f t="shared" si="23"/>
        <v>7077500</v>
      </c>
      <c r="S65" s="115">
        <f t="shared" si="24"/>
        <v>100</v>
      </c>
      <c r="T65" s="410">
        <f t="shared" si="18"/>
        <v>141550</v>
      </c>
      <c r="U65" s="410">
        <f t="shared" si="19"/>
        <v>14155000</v>
      </c>
    </row>
    <row r="66" spans="2:21" s="118" customFormat="1" x14ac:dyDescent="0.3">
      <c r="B66" s="118">
        <v>6</v>
      </c>
      <c r="C66" s="118" t="s">
        <v>673</v>
      </c>
      <c r="F66" s="115">
        <v>0.3</v>
      </c>
      <c r="G66" s="411" t="s">
        <v>449</v>
      </c>
      <c r="H66" s="411"/>
      <c r="I66" s="411"/>
      <c r="J66" s="115">
        <f t="shared" si="20"/>
        <v>0.3</v>
      </c>
      <c r="K66" s="410">
        <f>E53</f>
        <v>141550</v>
      </c>
      <c r="L66" s="410">
        <f t="shared" si="25"/>
        <v>42465</v>
      </c>
      <c r="M66" s="115">
        <f t="shared" si="21"/>
        <v>3</v>
      </c>
      <c r="N66" s="410">
        <f t="shared" si="15"/>
        <v>141550</v>
      </c>
      <c r="O66" s="410">
        <f t="shared" si="16"/>
        <v>424650</v>
      </c>
      <c r="P66" s="115">
        <f t="shared" si="22"/>
        <v>15</v>
      </c>
      <c r="Q66" s="410">
        <f t="shared" si="17"/>
        <v>141550</v>
      </c>
      <c r="R66" s="410">
        <f t="shared" si="23"/>
        <v>2123250</v>
      </c>
      <c r="S66" s="115">
        <f t="shared" si="24"/>
        <v>30</v>
      </c>
      <c r="T66" s="410">
        <f t="shared" si="18"/>
        <v>141550</v>
      </c>
      <c r="U66" s="410">
        <f t="shared" si="19"/>
        <v>4246500</v>
      </c>
    </row>
    <row r="67" spans="2:21" s="118" customFormat="1" x14ac:dyDescent="0.3">
      <c r="B67" s="118">
        <v>7</v>
      </c>
      <c r="C67" s="118" t="s">
        <v>674</v>
      </c>
      <c r="F67" s="115">
        <f>10/24</f>
        <v>0.41666666666666669</v>
      </c>
      <c r="G67" s="411" t="s">
        <v>449</v>
      </c>
      <c r="H67" s="411"/>
      <c r="I67" s="411"/>
      <c r="J67" s="115">
        <f t="shared" si="20"/>
        <v>0.41666666666666669</v>
      </c>
      <c r="K67" s="410">
        <f>E53</f>
        <v>141550</v>
      </c>
      <c r="L67" s="410">
        <f t="shared" si="25"/>
        <v>58979.166666666672</v>
      </c>
      <c r="M67" s="115">
        <f t="shared" si="21"/>
        <v>4.166666666666667</v>
      </c>
      <c r="N67" s="410">
        <f t="shared" si="15"/>
        <v>141550</v>
      </c>
      <c r="O67" s="410">
        <f t="shared" si="16"/>
        <v>589791.66666666674</v>
      </c>
      <c r="P67" s="115">
        <f t="shared" si="22"/>
        <v>20.833333333333336</v>
      </c>
      <c r="Q67" s="410">
        <f t="shared" si="17"/>
        <v>141550</v>
      </c>
      <c r="R67" s="410">
        <f t="shared" si="23"/>
        <v>2948958.3333333335</v>
      </c>
      <c r="S67" s="115">
        <f t="shared" si="24"/>
        <v>41.666666666666671</v>
      </c>
      <c r="T67" s="410">
        <f t="shared" si="18"/>
        <v>141550</v>
      </c>
      <c r="U67" s="410">
        <f t="shared" si="19"/>
        <v>5897916.666666667</v>
      </c>
    </row>
    <row r="68" spans="2:21" s="118" customFormat="1" x14ac:dyDescent="0.3">
      <c r="B68" s="118">
        <v>8</v>
      </c>
      <c r="C68" s="118" t="s">
        <v>675</v>
      </c>
      <c r="F68" s="115">
        <v>0.5</v>
      </c>
      <c r="G68" s="411" t="s">
        <v>449</v>
      </c>
      <c r="H68" s="411"/>
      <c r="I68" s="411"/>
      <c r="J68" s="115">
        <f t="shared" si="20"/>
        <v>0.5</v>
      </c>
      <c r="K68" s="410">
        <f>E53</f>
        <v>141550</v>
      </c>
      <c r="L68" s="410">
        <f t="shared" si="25"/>
        <v>70775</v>
      </c>
      <c r="M68" s="115">
        <f t="shared" si="21"/>
        <v>5</v>
      </c>
      <c r="N68" s="410">
        <f t="shared" si="15"/>
        <v>141550</v>
      </c>
      <c r="O68" s="410">
        <f t="shared" si="16"/>
        <v>707750</v>
      </c>
      <c r="P68" s="115">
        <f t="shared" si="22"/>
        <v>25</v>
      </c>
      <c r="Q68" s="410">
        <f t="shared" si="17"/>
        <v>141550</v>
      </c>
      <c r="R68" s="410">
        <f t="shared" si="23"/>
        <v>3538750</v>
      </c>
      <c r="S68" s="115">
        <f t="shared" si="24"/>
        <v>50</v>
      </c>
      <c r="T68" s="410">
        <f t="shared" si="18"/>
        <v>141550</v>
      </c>
      <c r="U68" s="410">
        <f t="shared" si="19"/>
        <v>7077500</v>
      </c>
    </row>
    <row r="69" spans="2:21" s="118" customFormat="1" x14ac:dyDescent="0.3">
      <c r="B69" s="118">
        <v>9</v>
      </c>
      <c r="C69" s="118" t="s">
        <v>676</v>
      </c>
      <c r="F69" s="115">
        <v>1</v>
      </c>
      <c r="G69" s="411" t="s">
        <v>449</v>
      </c>
      <c r="H69" s="411"/>
      <c r="I69" s="411"/>
      <c r="J69" s="115">
        <f t="shared" si="20"/>
        <v>1</v>
      </c>
      <c r="K69" s="410">
        <f>E53</f>
        <v>141550</v>
      </c>
      <c r="L69" s="410">
        <f t="shared" si="25"/>
        <v>141550</v>
      </c>
      <c r="M69" s="115">
        <f t="shared" si="21"/>
        <v>10</v>
      </c>
      <c r="N69" s="410">
        <f t="shared" si="15"/>
        <v>141550</v>
      </c>
      <c r="O69" s="410">
        <f t="shared" si="16"/>
        <v>1415500</v>
      </c>
      <c r="P69" s="115">
        <f t="shared" si="22"/>
        <v>50</v>
      </c>
      <c r="Q69" s="410">
        <f t="shared" si="17"/>
        <v>141550</v>
      </c>
      <c r="R69" s="410">
        <f t="shared" si="23"/>
        <v>7077500</v>
      </c>
      <c r="S69" s="115">
        <f t="shared" si="24"/>
        <v>100</v>
      </c>
      <c r="T69" s="410">
        <f t="shared" si="18"/>
        <v>141550</v>
      </c>
      <c r="U69" s="410">
        <f t="shared" si="19"/>
        <v>14155000</v>
      </c>
    </row>
    <row r="70" spans="2:21" x14ac:dyDescent="0.3">
      <c r="B70" s="7">
        <v>10</v>
      </c>
      <c r="C70" s="7" t="s">
        <v>677</v>
      </c>
      <c r="F70" s="115">
        <v>0.25</v>
      </c>
      <c r="G70" s="411" t="s">
        <v>449</v>
      </c>
      <c r="H70" s="411"/>
      <c r="I70" s="411"/>
      <c r="J70" s="115">
        <f t="shared" si="20"/>
        <v>0.25</v>
      </c>
      <c r="K70" s="410">
        <f>E52</f>
        <v>117000</v>
      </c>
      <c r="L70" s="410">
        <f t="shared" si="25"/>
        <v>29250</v>
      </c>
      <c r="M70" s="115">
        <f t="shared" si="21"/>
        <v>2.5</v>
      </c>
      <c r="N70" s="410">
        <f t="shared" si="15"/>
        <v>117000</v>
      </c>
      <c r="O70" s="410">
        <f t="shared" si="16"/>
        <v>292500</v>
      </c>
      <c r="P70" s="115">
        <f t="shared" si="22"/>
        <v>12.5</v>
      </c>
      <c r="Q70" s="410">
        <f t="shared" si="17"/>
        <v>117000</v>
      </c>
      <c r="R70" s="410">
        <f t="shared" si="23"/>
        <v>1462500</v>
      </c>
      <c r="S70" s="115">
        <f t="shared" si="24"/>
        <v>25</v>
      </c>
      <c r="T70" s="410">
        <f t="shared" si="18"/>
        <v>117000</v>
      </c>
      <c r="U70" s="410">
        <f t="shared" si="19"/>
        <v>2925000</v>
      </c>
    </row>
    <row r="71" spans="2:21" x14ac:dyDescent="0.3">
      <c r="B71" s="7">
        <v>11</v>
      </c>
      <c r="C71" s="7" t="s">
        <v>678</v>
      </c>
      <c r="F71" s="411"/>
      <c r="G71" s="411"/>
      <c r="H71" s="411"/>
      <c r="I71" s="411"/>
      <c r="J71" s="115">
        <v>3</v>
      </c>
      <c r="K71" s="410">
        <f>E51</f>
        <v>124225</v>
      </c>
      <c r="L71" s="410">
        <f t="shared" si="25"/>
        <v>372675</v>
      </c>
      <c r="M71" s="115">
        <v>3</v>
      </c>
      <c r="N71" s="410">
        <f t="shared" si="15"/>
        <v>124225</v>
      </c>
      <c r="O71" s="410">
        <f t="shared" si="16"/>
        <v>372675</v>
      </c>
      <c r="P71" s="115">
        <v>3</v>
      </c>
      <c r="Q71" s="410">
        <f t="shared" si="17"/>
        <v>124225</v>
      </c>
      <c r="R71" s="410">
        <f t="shared" si="13"/>
        <v>372675</v>
      </c>
      <c r="S71" s="115">
        <v>3</v>
      </c>
      <c r="T71" s="410">
        <f t="shared" si="18"/>
        <v>124225</v>
      </c>
      <c r="U71" s="410">
        <f t="shared" si="19"/>
        <v>372675</v>
      </c>
    </row>
    <row r="72" spans="2:21" x14ac:dyDescent="0.3">
      <c r="B72" s="7">
        <v>12</v>
      </c>
      <c r="C72" s="7" t="s">
        <v>679</v>
      </c>
      <c r="F72" s="411"/>
      <c r="G72" s="411"/>
      <c r="H72" s="385">
        <v>0.15</v>
      </c>
      <c r="I72" s="411"/>
      <c r="J72" s="115">
        <f>SUM(J61:J71)*H72</f>
        <v>2.6575000000000002</v>
      </c>
      <c r="K72" s="410">
        <f>E54</f>
        <v>127605</v>
      </c>
      <c r="L72" s="410">
        <f t="shared" si="25"/>
        <v>339110.28750000003</v>
      </c>
      <c r="M72" s="115">
        <f>SUM(M61:M71)*H72</f>
        <v>10.374999999999998</v>
      </c>
      <c r="N72" s="410">
        <f t="shared" si="15"/>
        <v>127605</v>
      </c>
      <c r="O72" s="410">
        <f t="shared" si="16"/>
        <v>1323901.8749999998</v>
      </c>
      <c r="P72" s="115">
        <f>SUM(P61:P71)*H72</f>
        <v>44.675000000000004</v>
      </c>
      <c r="Q72" s="410">
        <f t="shared" si="17"/>
        <v>127605</v>
      </c>
      <c r="R72" s="410">
        <f t="shared" si="13"/>
        <v>5700753.3750000009</v>
      </c>
      <c r="S72" s="115">
        <f>SUM(S61:S71)*H72</f>
        <v>87.550000000000011</v>
      </c>
      <c r="T72" s="410">
        <f t="shared" si="18"/>
        <v>127605</v>
      </c>
      <c r="U72" s="410">
        <f t="shared" si="19"/>
        <v>11171817.750000002</v>
      </c>
    </row>
    <row r="73" spans="2:21" x14ac:dyDescent="0.3">
      <c r="M73" s="118"/>
      <c r="N73" s="118"/>
      <c r="O73" s="118"/>
      <c r="P73" s="118"/>
      <c r="Q73" s="118"/>
      <c r="R73" s="118"/>
      <c r="S73" s="118"/>
      <c r="T73" s="118"/>
      <c r="U73" s="118"/>
    </row>
    <row r="74" spans="2:21" x14ac:dyDescent="0.3">
      <c r="C74" s="7" t="s">
        <v>141</v>
      </c>
      <c r="J74" s="15">
        <f>SUM(J61:J72)</f>
        <v>20.374166666666667</v>
      </c>
      <c r="L74" s="8">
        <f>SUM(L61:L72)</f>
        <v>2563179.4541666671</v>
      </c>
      <c r="M74" s="25">
        <f>SUM(M61:M72)</f>
        <v>79.541666666666657</v>
      </c>
      <c r="N74" s="118"/>
      <c r="O74" s="87">
        <f>SUM(O61:O72)</f>
        <v>10408393.541666668</v>
      </c>
      <c r="P74" s="25">
        <f>SUM(P61:P72)</f>
        <v>342.50833333333338</v>
      </c>
      <c r="Q74" s="118"/>
      <c r="R74" s="87">
        <f>SUM(R61:R72)</f>
        <v>45276011.708333328</v>
      </c>
      <c r="S74" s="25">
        <f>SUM(S61:S72)</f>
        <v>671.2166666666667</v>
      </c>
      <c r="T74" s="118"/>
      <c r="U74" s="87">
        <f>SUM(U61:U72)</f>
        <v>88860534.416666657</v>
      </c>
    </row>
    <row r="76" spans="2:21" x14ac:dyDescent="0.3">
      <c r="B76" s="7" t="s">
        <v>393</v>
      </c>
    </row>
    <row r="77" spans="2:21" x14ac:dyDescent="0.3">
      <c r="C77" s="7" t="s">
        <v>168</v>
      </c>
      <c r="L77" s="23">
        <f>L74</f>
        <v>2563179.4541666671</v>
      </c>
      <c r="M77" s="87"/>
      <c r="N77" s="87"/>
      <c r="O77" s="87">
        <f t="shared" ref="O77:U77" si="26">O74</f>
        <v>10408393.541666668</v>
      </c>
      <c r="P77" s="87"/>
      <c r="Q77" s="87"/>
      <c r="R77" s="87">
        <f t="shared" si="26"/>
        <v>45276011.708333328</v>
      </c>
      <c r="S77" s="87"/>
      <c r="T77" s="87"/>
      <c r="U77" s="87">
        <f t="shared" si="26"/>
        <v>88860534.416666657</v>
      </c>
    </row>
    <row r="78" spans="2:21" s="118" customFormat="1" x14ac:dyDescent="0.3">
      <c r="C78" s="118" t="s">
        <v>394</v>
      </c>
      <c r="L78" s="87">
        <v>242200</v>
      </c>
      <c r="O78" s="87">
        <v>242200</v>
      </c>
      <c r="R78" s="87">
        <v>242200</v>
      </c>
      <c r="U78" s="87">
        <v>242200</v>
      </c>
    </row>
    <row r="80" spans="2:21" x14ac:dyDescent="0.3">
      <c r="C80" s="27" t="s">
        <v>86</v>
      </c>
      <c r="D80" s="27"/>
      <c r="E80" s="27"/>
      <c r="F80" s="27"/>
      <c r="G80" s="27"/>
      <c r="H80" s="27"/>
      <c r="I80" s="27"/>
      <c r="J80" s="27"/>
      <c r="K80" s="27"/>
      <c r="L80" s="28">
        <f>SUM(L77:L78)</f>
        <v>2805379.4541666671</v>
      </c>
      <c r="M80" s="28"/>
      <c r="N80" s="28"/>
      <c r="O80" s="28">
        <f t="shared" ref="O80:U80" si="27">SUM(O77:O78)</f>
        <v>10650593.541666668</v>
      </c>
      <c r="P80" s="28"/>
      <c r="Q80" s="28"/>
      <c r="R80" s="28">
        <f t="shared" si="27"/>
        <v>45518211.708333328</v>
      </c>
      <c r="S80" s="28"/>
      <c r="T80" s="28"/>
      <c r="U80" s="28">
        <f t="shared" si="27"/>
        <v>89102734.416666657</v>
      </c>
    </row>
    <row r="81" spans="1:21" s="17" customFormat="1" x14ac:dyDescent="0.3">
      <c r="L81" s="23"/>
    </row>
    <row r="82" spans="1:21" x14ac:dyDescent="0.3">
      <c r="A82" s="18" t="s">
        <v>81</v>
      </c>
      <c r="B82" s="18" t="s">
        <v>396</v>
      </c>
      <c r="U82" s="91"/>
    </row>
    <row r="84" spans="1:21" x14ac:dyDescent="0.3">
      <c r="B84" s="7" t="s">
        <v>145</v>
      </c>
    </row>
    <row r="85" spans="1:21" x14ac:dyDescent="0.3">
      <c r="B85" s="7" t="s">
        <v>146</v>
      </c>
    </row>
    <row r="86" spans="1:21" x14ac:dyDescent="0.3">
      <c r="B86" s="7" t="s">
        <v>147</v>
      </c>
    </row>
    <row r="87" spans="1:21" x14ac:dyDescent="0.3">
      <c r="B87" s="7" t="s">
        <v>148</v>
      </c>
    </row>
    <row r="88" spans="1:21" s="17" customFormat="1" x14ac:dyDescent="0.3">
      <c r="B88" s="17" t="s">
        <v>474</v>
      </c>
    </row>
    <row r="89" spans="1:21" s="118" customFormat="1" x14ac:dyDescent="0.3"/>
    <row r="90" spans="1:21" s="17" customFormat="1" x14ac:dyDescent="0.3">
      <c r="B90" s="20" t="s">
        <v>395</v>
      </c>
      <c r="C90" s="7"/>
      <c r="D90" s="7"/>
      <c r="E90" s="148">
        <v>1</v>
      </c>
      <c r="F90" s="149" t="s">
        <v>472</v>
      </c>
      <c r="G90" s="110"/>
      <c r="H90" s="148">
        <v>2</v>
      </c>
      <c r="I90" s="149" t="s">
        <v>473</v>
      </c>
      <c r="J90" s="110">
        <v>3</v>
      </c>
      <c r="K90" s="149" t="s">
        <v>473</v>
      </c>
      <c r="L90" s="148">
        <v>4</v>
      </c>
      <c r="M90" s="84" t="s">
        <v>473</v>
      </c>
      <c r="N90" s="148"/>
      <c r="O90" s="149"/>
      <c r="P90" s="110"/>
    </row>
    <row r="91" spans="1:21" s="17" customFormat="1" x14ac:dyDescent="0.3">
      <c r="B91" s="7"/>
      <c r="C91" s="7"/>
      <c r="D91" s="7"/>
      <c r="E91" s="110" t="s">
        <v>455</v>
      </c>
      <c r="F91" s="110" t="s">
        <v>454</v>
      </c>
      <c r="G91" s="110" t="s">
        <v>84</v>
      </c>
      <c r="H91" s="110" t="s">
        <v>454</v>
      </c>
      <c r="I91" s="110" t="s">
        <v>84</v>
      </c>
      <c r="J91" s="110" t="s">
        <v>454</v>
      </c>
      <c r="K91" s="110" t="s">
        <v>84</v>
      </c>
      <c r="L91" s="110" t="s">
        <v>454</v>
      </c>
      <c r="M91" s="110" t="s">
        <v>84</v>
      </c>
      <c r="N91" s="110"/>
      <c r="O91" s="110"/>
      <c r="P91" s="110"/>
    </row>
    <row r="92" spans="1:21" s="17" customFormat="1" x14ac:dyDescent="0.3">
      <c r="B92" s="7"/>
      <c r="C92" s="7" t="s">
        <v>151</v>
      </c>
      <c r="E92" s="8">
        <v>68741</v>
      </c>
      <c r="F92" s="30">
        <f>F106+F115</f>
        <v>14</v>
      </c>
      <c r="G92" s="87">
        <f>F92*E92</f>
        <v>962374</v>
      </c>
      <c r="H92" s="30">
        <f>H106+H115</f>
        <v>14</v>
      </c>
      <c r="I92" s="87">
        <f>H92*E92</f>
        <v>962374</v>
      </c>
      <c r="J92" s="30">
        <f>J106+J115</f>
        <v>14</v>
      </c>
      <c r="K92" s="87">
        <f>J92*E92</f>
        <v>962374</v>
      </c>
      <c r="L92" s="30">
        <f>L106+L115</f>
        <v>14</v>
      </c>
      <c r="M92" s="87">
        <f>L92*E92</f>
        <v>962374</v>
      </c>
      <c r="N92" s="87"/>
    </row>
    <row r="93" spans="1:21" s="17" customFormat="1" x14ac:dyDescent="0.3">
      <c r="B93" s="7"/>
      <c r="C93" s="7" t="s">
        <v>152</v>
      </c>
      <c r="E93" s="8">
        <v>80921</v>
      </c>
      <c r="F93" s="30">
        <f>F107</f>
        <v>1.7083333333333333</v>
      </c>
      <c r="G93" s="87">
        <f t="shared" ref="G93:G95" si="28">F93*E93</f>
        <v>138240.04166666666</v>
      </c>
      <c r="H93" s="30">
        <f>H107</f>
        <v>3.25</v>
      </c>
      <c r="I93" s="87">
        <f t="shared" ref="I93:I96" si="29">H93*E93</f>
        <v>262993.25</v>
      </c>
      <c r="J93" s="30">
        <f>J107</f>
        <v>4.791666666666667</v>
      </c>
      <c r="K93" s="87">
        <f t="shared" ref="K93:K96" si="30">J93*E93</f>
        <v>387746.45833333337</v>
      </c>
      <c r="L93" s="30">
        <f>L107</f>
        <v>6.333333333333333</v>
      </c>
      <c r="M93" s="87">
        <f t="shared" ref="M93:M96" si="31">L93*E93</f>
        <v>512499.66666666663</v>
      </c>
      <c r="N93" s="87"/>
    </row>
    <row r="94" spans="1:21" s="17" customFormat="1" x14ac:dyDescent="0.3">
      <c r="B94" s="7"/>
      <c r="C94" s="7" t="s">
        <v>153</v>
      </c>
      <c r="E94" s="8">
        <v>79156</v>
      </c>
      <c r="F94" s="30">
        <f>F104</f>
        <v>6.9537037037037033</v>
      </c>
      <c r="G94" s="87">
        <f t="shared" si="28"/>
        <v>550427.37037037034</v>
      </c>
      <c r="H94" s="30">
        <f>H104</f>
        <v>6.9537037037037033</v>
      </c>
      <c r="I94" s="87">
        <f t="shared" si="29"/>
        <v>550427.37037037034</v>
      </c>
      <c r="J94" s="30">
        <f>J104</f>
        <v>6.9537037037037033</v>
      </c>
      <c r="K94" s="87">
        <f t="shared" si="30"/>
        <v>550427.37037037034</v>
      </c>
      <c r="L94" s="30">
        <f>L104</f>
        <v>6.9537037037037033</v>
      </c>
      <c r="M94" s="87">
        <f t="shared" si="31"/>
        <v>550427.37037037034</v>
      </c>
      <c r="N94" s="87"/>
    </row>
    <row r="95" spans="1:21" s="17" customFormat="1" x14ac:dyDescent="0.3">
      <c r="B95" s="7"/>
      <c r="C95" s="7" t="s">
        <v>154</v>
      </c>
      <c r="E95" s="8">
        <v>81025</v>
      </c>
      <c r="F95" s="30">
        <f>F105+F108+F109+F110+F111+F112+F113+F114</f>
        <v>63.638888888888864</v>
      </c>
      <c r="G95" s="87">
        <f t="shared" si="28"/>
        <v>5156340.9722222202</v>
      </c>
      <c r="H95" s="30">
        <f>H105+H108+H109+H110+H111+H112+H113+H114</f>
        <v>127.05555555555583</v>
      </c>
      <c r="I95" s="87">
        <f t="shared" si="29"/>
        <v>10294676.38888891</v>
      </c>
      <c r="J95" s="30">
        <f>J105+J108+J109+J110+J111+J112+J113+J114</f>
        <v>190.47222222222223</v>
      </c>
      <c r="K95" s="87">
        <f t="shared" si="30"/>
        <v>15433011.805555556</v>
      </c>
      <c r="L95" s="30">
        <f>L105+L108+L109+L110+L111+L112+L113+L114</f>
        <v>253.88888888888863</v>
      </c>
      <c r="M95" s="87">
        <f t="shared" si="31"/>
        <v>20571347.222222202</v>
      </c>
      <c r="N95" s="87"/>
    </row>
    <row r="96" spans="1:21" s="17" customFormat="1" x14ac:dyDescent="0.3">
      <c r="B96" s="7"/>
      <c r="C96" s="7" t="s">
        <v>144</v>
      </c>
      <c r="E96" s="8">
        <v>77345</v>
      </c>
      <c r="F96" s="30">
        <f>F116</f>
        <v>12.945138888888884</v>
      </c>
      <c r="G96" s="87">
        <f>F96*E96</f>
        <v>1001241.7673611108</v>
      </c>
      <c r="H96" s="30">
        <f>H116</f>
        <v>22.688888888888929</v>
      </c>
      <c r="I96" s="87">
        <f t="shared" si="29"/>
        <v>1754872.1111111143</v>
      </c>
      <c r="J96" s="30">
        <f>J116</f>
        <v>32.432638888888889</v>
      </c>
      <c r="K96" s="87">
        <f t="shared" si="30"/>
        <v>2508502.454861111</v>
      </c>
      <c r="L96" s="30">
        <f>L116</f>
        <v>42.176388888888845</v>
      </c>
      <c r="M96" s="87">
        <f t="shared" si="31"/>
        <v>3262132.7986111077</v>
      </c>
      <c r="N96" s="87"/>
    </row>
    <row r="97" spans="1:25" s="118" customFormat="1" x14ac:dyDescent="0.3">
      <c r="C97" s="118" t="s">
        <v>456</v>
      </c>
      <c r="E97" s="87"/>
      <c r="G97" s="87">
        <v>542600</v>
      </c>
      <c r="I97" s="87">
        <f>G97</f>
        <v>542600</v>
      </c>
      <c r="K97" s="87">
        <f>G97</f>
        <v>542600</v>
      </c>
      <c r="M97" s="87">
        <f>G97</f>
        <v>542600</v>
      </c>
    </row>
    <row r="98" spans="1:25" s="118" customFormat="1" x14ac:dyDescent="0.3">
      <c r="C98" s="118" t="s">
        <v>488</v>
      </c>
      <c r="E98" s="87"/>
      <c r="G98" s="87">
        <v>300000</v>
      </c>
      <c r="I98" s="87">
        <v>450000</v>
      </c>
      <c r="K98" s="87">
        <v>600000</v>
      </c>
      <c r="M98" s="87">
        <v>750000</v>
      </c>
    </row>
    <row r="99" spans="1:25" s="118" customFormat="1" x14ac:dyDescent="0.3">
      <c r="E99" s="87"/>
    </row>
    <row r="100" spans="1:25" s="118" customFormat="1" x14ac:dyDescent="0.3">
      <c r="C100" s="27" t="s">
        <v>86</v>
      </c>
      <c r="D100" s="27"/>
      <c r="E100" s="28"/>
      <c r="F100" s="135">
        <f>SUM(F92:F96)</f>
        <v>99.246064814814787</v>
      </c>
      <c r="G100" s="28">
        <f>SUM(G92:G98)</f>
        <v>8651224.1516203694</v>
      </c>
      <c r="H100" s="28">
        <f t="shared" ref="H100:M100" si="32">SUM(H92:H98)</f>
        <v>173.94814814814845</v>
      </c>
      <c r="I100" s="28">
        <f t="shared" si="32"/>
        <v>14817943.120370394</v>
      </c>
      <c r="J100" s="28">
        <f t="shared" si="32"/>
        <v>248.65023148148151</v>
      </c>
      <c r="K100" s="28">
        <f t="shared" si="32"/>
        <v>20984662.089120373</v>
      </c>
      <c r="L100" s="28">
        <f t="shared" si="32"/>
        <v>323.35231481481446</v>
      </c>
      <c r="M100" s="28">
        <f t="shared" si="32"/>
        <v>27151381.057870347</v>
      </c>
    </row>
    <row r="101" spans="1:25" s="17" customFormat="1" x14ac:dyDescent="0.3"/>
    <row r="102" spans="1:25" s="118" customFormat="1" x14ac:dyDescent="0.3">
      <c r="B102" s="118" t="s">
        <v>457</v>
      </c>
      <c r="E102" s="118">
        <v>1</v>
      </c>
      <c r="F102" s="118" t="s">
        <v>472</v>
      </c>
      <c r="H102" s="118">
        <v>2</v>
      </c>
      <c r="I102" s="118" t="s">
        <v>473</v>
      </c>
      <c r="J102" s="107">
        <v>3</v>
      </c>
      <c r="K102" s="107" t="s">
        <v>473</v>
      </c>
      <c r="L102" s="7">
        <v>4</v>
      </c>
      <c r="M102" s="118" t="s">
        <v>473</v>
      </c>
    </row>
    <row r="103" spans="1:25" x14ac:dyDescent="0.3">
      <c r="A103" s="18"/>
      <c r="B103" s="20"/>
      <c r="E103" s="7" t="s">
        <v>455</v>
      </c>
      <c r="F103" s="110" t="s">
        <v>454</v>
      </c>
      <c r="G103" s="7" t="s">
        <v>84</v>
      </c>
      <c r="H103" s="7" t="s">
        <v>454</v>
      </c>
      <c r="I103" s="7" t="s">
        <v>84</v>
      </c>
      <c r="J103" s="84" t="s">
        <v>471</v>
      </c>
      <c r="K103" s="84" t="s">
        <v>84</v>
      </c>
      <c r="L103" s="84" t="s">
        <v>139</v>
      </c>
      <c r="M103" s="149" t="s">
        <v>84</v>
      </c>
      <c r="N103" s="107"/>
      <c r="O103" s="107"/>
      <c r="P103" s="118"/>
      <c r="Q103" s="118"/>
      <c r="R103" s="107"/>
      <c r="S103" s="107"/>
      <c r="T103" s="118"/>
      <c r="U103" s="118"/>
      <c r="V103" s="107"/>
      <c r="W103" s="107"/>
      <c r="X103" s="118"/>
      <c r="Y103" s="118"/>
    </row>
    <row r="104" spans="1:25" x14ac:dyDescent="0.3">
      <c r="B104" s="7">
        <v>1</v>
      </c>
      <c r="C104" s="150" t="s">
        <v>458</v>
      </c>
      <c r="E104" s="87">
        <f>E94</f>
        <v>79156</v>
      </c>
      <c r="F104" s="30">
        <v>6.9537037037037033</v>
      </c>
      <c r="G104" s="87">
        <f>F104*E104</f>
        <v>550427.37037037034</v>
      </c>
      <c r="H104" s="30">
        <v>6.9537037037037033</v>
      </c>
      <c r="I104" s="104">
        <f>E104*H104</f>
        <v>550427.37037037034</v>
      </c>
      <c r="J104" s="152">
        <v>6.9537037037037033</v>
      </c>
      <c r="K104" s="87">
        <f>J104*E104</f>
        <v>550427.37037037034</v>
      </c>
      <c r="L104" s="30">
        <v>6.9537037037037033</v>
      </c>
      <c r="M104" s="154">
        <f>L104*E104</f>
        <v>550427.37037037034</v>
      </c>
      <c r="N104" s="110"/>
      <c r="O104" s="110"/>
      <c r="P104" s="110"/>
      <c r="Q104" s="110"/>
      <c r="R104" s="110"/>
      <c r="S104" s="110"/>
      <c r="T104" s="110"/>
      <c r="U104" s="110"/>
      <c r="V104" s="110"/>
      <c r="W104" s="110"/>
      <c r="X104" s="110"/>
      <c r="Y104" s="118"/>
    </row>
    <row r="105" spans="1:25" s="118" customFormat="1" x14ac:dyDescent="0.3">
      <c r="B105" s="118">
        <v>2</v>
      </c>
      <c r="C105" s="34" t="s">
        <v>459</v>
      </c>
      <c r="E105" s="87">
        <f>E95</f>
        <v>81025</v>
      </c>
      <c r="F105" s="30">
        <v>0.22222222222222221</v>
      </c>
      <c r="G105" s="87">
        <f t="shared" ref="G105:G115" si="33">F105*E105</f>
        <v>18005.555555555555</v>
      </c>
      <c r="H105" s="30">
        <v>0.22222222222222221</v>
      </c>
      <c r="I105" s="104">
        <f t="shared" ref="I105:I116" si="34">E105*H105</f>
        <v>18005.555555555555</v>
      </c>
      <c r="J105" s="152">
        <v>0.22222222222222221</v>
      </c>
      <c r="K105" s="87">
        <f t="shared" ref="K105:K116" si="35">J105*E105</f>
        <v>18005.555555555555</v>
      </c>
      <c r="L105" s="153">
        <v>0.22222222222222221</v>
      </c>
      <c r="M105" s="154">
        <f t="shared" ref="M105:M116" si="36">L105*E105</f>
        <v>18005.555555555555</v>
      </c>
      <c r="N105" s="110"/>
      <c r="O105" s="110"/>
      <c r="P105" s="110"/>
      <c r="Q105" s="110"/>
      <c r="R105" s="110"/>
      <c r="S105" s="110"/>
      <c r="T105" s="110"/>
      <c r="U105" s="110"/>
      <c r="V105" s="110"/>
      <c r="W105" s="110"/>
      <c r="X105" s="110"/>
    </row>
    <row r="106" spans="1:25" s="118" customFormat="1" x14ac:dyDescent="0.3">
      <c r="B106" s="118">
        <v>3</v>
      </c>
      <c r="C106" s="34" t="s">
        <v>460</v>
      </c>
      <c r="E106" s="87">
        <f>E92</f>
        <v>68741</v>
      </c>
      <c r="F106" s="30">
        <v>8</v>
      </c>
      <c r="G106" s="87">
        <f t="shared" si="33"/>
        <v>549928</v>
      </c>
      <c r="H106" s="30">
        <v>8</v>
      </c>
      <c r="I106" s="104">
        <f t="shared" si="34"/>
        <v>549928</v>
      </c>
      <c r="J106" s="152">
        <v>8</v>
      </c>
      <c r="K106" s="87">
        <f t="shared" si="35"/>
        <v>549928</v>
      </c>
      <c r="L106" s="153">
        <v>8</v>
      </c>
      <c r="M106" s="154">
        <f t="shared" si="36"/>
        <v>549928</v>
      </c>
      <c r="N106" s="110"/>
      <c r="O106" s="110"/>
      <c r="P106" s="110"/>
      <c r="Q106" s="110"/>
      <c r="R106" s="110"/>
      <c r="S106" s="110"/>
      <c r="T106" s="110"/>
      <c r="U106" s="110"/>
      <c r="V106" s="110"/>
      <c r="W106" s="110"/>
      <c r="X106" s="110"/>
    </row>
    <row r="107" spans="1:25" s="118" customFormat="1" x14ac:dyDescent="0.3">
      <c r="B107" s="118">
        <v>4</v>
      </c>
      <c r="C107" s="34" t="s">
        <v>461</v>
      </c>
      <c r="E107" s="87">
        <f>E93</f>
        <v>80921</v>
      </c>
      <c r="F107" s="30">
        <v>1.7083333333333333</v>
      </c>
      <c r="G107" s="87">
        <f t="shared" si="33"/>
        <v>138240.04166666666</v>
      </c>
      <c r="H107" s="30">
        <v>3.25</v>
      </c>
      <c r="I107" s="104">
        <f t="shared" si="34"/>
        <v>262993.25</v>
      </c>
      <c r="J107" s="152">
        <v>4.791666666666667</v>
      </c>
      <c r="K107" s="87">
        <f t="shared" si="35"/>
        <v>387746.45833333337</v>
      </c>
      <c r="L107" s="153">
        <v>6.333333333333333</v>
      </c>
      <c r="M107" s="154">
        <f t="shared" si="36"/>
        <v>512499.66666666663</v>
      </c>
      <c r="N107" s="110"/>
      <c r="O107" s="110"/>
      <c r="P107" s="110"/>
      <c r="Q107" s="110"/>
      <c r="R107" s="110"/>
      <c r="S107" s="110"/>
      <c r="T107" s="110"/>
      <c r="U107" s="110"/>
      <c r="V107" s="110"/>
      <c r="W107" s="110"/>
      <c r="X107" s="110"/>
    </row>
    <row r="108" spans="1:25" s="118" customFormat="1" x14ac:dyDescent="0.3">
      <c r="B108" s="118">
        <v>5</v>
      </c>
      <c r="C108" s="34" t="s">
        <v>462</v>
      </c>
      <c r="E108" s="87">
        <f>E95</f>
        <v>81025</v>
      </c>
      <c r="F108" s="30">
        <v>1</v>
      </c>
      <c r="G108" s="87">
        <f t="shared" si="33"/>
        <v>81025</v>
      </c>
      <c r="H108" s="30">
        <v>2</v>
      </c>
      <c r="I108" s="104">
        <f t="shared" si="34"/>
        <v>162050</v>
      </c>
      <c r="J108" s="152">
        <v>3</v>
      </c>
      <c r="K108" s="87">
        <f t="shared" si="35"/>
        <v>243075</v>
      </c>
      <c r="L108" s="153">
        <v>4</v>
      </c>
      <c r="M108" s="154">
        <f t="shared" si="36"/>
        <v>324100</v>
      </c>
      <c r="N108" s="110"/>
      <c r="O108" s="110"/>
      <c r="P108" s="110"/>
      <c r="Q108" s="110"/>
      <c r="R108" s="110"/>
      <c r="S108" s="110"/>
      <c r="T108" s="110"/>
      <c r="U108" s="110"/>
      <c r="V108" s="110"/>
      <c r="W108" s="110"/>
      <c r="X108" s="110"/>
    </row>
    <row r="109" spans="1:25" s="118" customFormat="1" x14ac:dyDescent="0.3">
      <c r="B109" s="118">
        <v>6</v>
      </c>
      <c r="C109" s="34" t="s">
        <v>463</v>
      </c>
      <c r="E109" s="87">
        <f>E95</f>
        <v>81025</v>
      </c>
      <c r="F109" s="30">
        <f>7.70833333333333*8</f>
        <v>61.666666666666643</v>
      </c>
      <c r="G109" s="87">
        <f t="shared" si="33"/>
        <v>4996541.6666666651</v>
      </c>
      <c r="H109" s="30">
        <f>15.4166666666667*8</f>
        <v>123.3333333333336</v>
      </c>
      <c r="I109" s="104">
        <f t="shared" si="34"/>
        <v>9993083.3333333544</v>
      </c>
      <c r="J109" s="152">
        <f>23.125*8</f>
        <v>185</v>
      </c>
      <c r="K109" s="87">
        <f t="shared" si="35"/>
        <v>14989625</v>
      </c>
      <c r="L109" s="30">
        <f>30.8333333333333*8</f>
        <v>246.6666666666664</v>
      </c>
      <c r="M109" s="154">
        <f t="shared" si="36"/>
        <v>19986166.666666646</v>
      </c>
    </row>
    <row r="110" spans="1:25" x14ac:dyDescent="0.3">
      <c r="B110" s="7">
        <v>7</v>
      </c>
      <c r="C110" s="150" t="s">
        <v>464</v>
      </c>
      <c r="E110" s="87">
        <f>E95</f>
        <v>81025</v>
      </c>
      <c r="F110" s="30">
        <v>0.5</v>
      </c>
      <c r="G110" s="87">
        <f t="shared" si="33"/>
        <v>40512.5</v>
      </c>
      <c r="H110" s="30">
        <v>1</v>
      </c>
      <c r="I110" s="104">
        <f t="shared" si="34"/>
        <v>81025</v>
      </c>
      <c r="J110" s="152">
        <v>1.5</v>
      </c>
      <c r="K110" s="87">
        <f t="shared" si="35"/>
        <v>121537.5</v>
      </c>
      <c r="L110" s="30">
        <v>2</v>
      </c>
      <c r="M110" s="154">
        <f t="shared" si="36"/>
        <v>162050</v>
      </c>
      <c r="N110" s="118"/>
      <c r="O110" s="87"/>
      <c r="P110" s="87"/>
      <c r="Q110" s="89"/>
      <c r="R110" s="118"/>
      <c r="S110" s="87"/>
      <c r="T110" s="87"/>
      <c r="U110" s="89"/>
      <c r="V110" s="118"/>
      <c r="W110" s="87"/>
      <c r="X110" s="87"/>
      <c r="Y110" s="89"/>
    </row>
    <row r="111" spans="1:25" x14ac:dyDescent="0.3">
      <c r="B111" s="7">
        <v>8</v>
      </c>
      <c r="C111" s="150" t="s">
        <v>465</v>
      </c>
      <c r="E111" s="87">
        <f>E95</f>
        <v>81025</v>
      </c>
      <c r="F111" s="30">
        <v>0.25</v>
      </c>
      <c r="G111" s="87">
        <f t="shared" si="33"/>
        <v>20256.25</v>
      </c>
      <c r="H111" s="30">
        <v>0.5</v>
      </c>
      <c r="I111" s="104">
        <f t="shared" si="34"/>
        <v>40512.5</v>
      </c>
      <c r="J111" s="152">
        <v>0.75</v>
      </c>
      <c r="K111" s="87">
        <f t="shared" si="35"/>
        <v>60768.75</v>
      </c>
      <c r="L111" s="30">
        <v>1</v>
      </c>
      <c r="M111" s="154">
        <f t="shared" si="36"/>
        <v>81025</v>
      </c>
      <c r="N111" s="118"/>
      <c r="O111" s="87"/>
      <c r="P111" s="87"/>
      <c r="Q111" s="89"/>
      <c r="R111" s="118"/>
      <c r="S111" s="87"/>
      <c r="T111" s="87"/>
      <c r="U111" s="89"/>
      <c r="V111" s="118"/>
      <c r="W111" s="87"/>
      <c r="X111" s="87"/>
      <c r="Y111" s="89"/>
    </row>
    <row r="112" spans="1:25" x14ac:dyDescent="0.3">
      <c r="B112" s="7">
        <v>9</v>
      </c>
      <c r="C112" s="150" t="s">
        <v>466</v>
      </c>
      <c r="E112" s="87">
        <f>E95</f>
        <v>81025</v>
      </c>
      <c r="F112" s="30">
        <v>0</v>
      </c>
      <c r="G112" s="87">
        <f t="shared" si="33"/>
        <v>0</v>
      </c>
      <c r="H112" s="30">
        <v>0</v>
      </c>
      <c r="I112" s="104">
        <f t="shared" si="34"/>
        <v>0</v>
      </c>
      <c r="J112" s="152">
        <v>0</v>
      </c>
      <c r="K112" s="87">
        <f t="shared" si="35"/>
        <v>0</v>
      </c>
      <c r="L112" s="30">
        <v>0</v>
      </c>
      <c r="M112" s="154">
        <f t="shared" si="36"/>
        <v>0</v>
      </c>
      <c r="N112" s="118"/>
      <c r="O112" s="87"/>
      <c r="P112" s="87"/>
      <c r="Q112" s="89"/>
      <c r="R112" s="118"/>
      <c r="S112" s="87"/>
      <c r="T112" s="87"/>
      <c r="U112" s="89"/>
      <c r="V112" s="118"/>
      <c r="W112" s="87"/>
      <c r="X112" s="87"/>
      <c r="Y112" s="89"/>
    </row>
    <row r="113" spans="2:25" x14ac:dyDescent="0.3">
      <c r="B113" s="7">
        <v>10</v>
      </c>
      <c r="C113" s="150" t="s">
        <v>467</v>
      </c>
      <c r="E113" s="87">
        <f>E95</f>
        <v>81025</v>
      </c>
      <c r="F113" s="30">
        <v>0</v>
      </c>
      <c r="G113" s="87">
        <f t="shared" si="33"/>
        <v>0</v>
      </c>
      <c r="H113" s="30">
        <v>0</v>
      </c>
      <c r="I113" s="104">
        <f t="shared" si="34"/>
        <v>0</v>
      </c>
      <c r="J113" s="152">
        <v>0</v>
      </c>
      <c r="K113" s="87">
        <f t="shared" si="35"/>
        <v>0</v>
      </c>
      <c r="L113" s="30">
        <v>0</v>
      </c>
      <c r="M113" s="154">
        <f t="shared" si="36"/>
        <v>0</v>
      </c>
      <c r="N113" s="118"/>
      <c r="O113" s="87"/>
      <c r="P113" s="87"/>
      <c r="Q113" s="89"/>
      <c r="R113" s="118"/>
      <c r="S113" s="87"/>
      <c r="T113" s="87"/>
      <c r="U113" s="89"/>
      <c r="V113" s="118"/>
      <c r="W113" s="87"/>
      <c r="X113" s="87"/>
      <c r="Y113" s="89"/>
    </row>
    <row r="114" spans="2:25" x14ac:dyDescent="0.3">
      <c r="B114" s="7">
        <v>11</v>
      </c>
      <c r="C114" s="34" t="s">
        <v>468</v>
      </c>
      <c r="E114" s="87">
        <f>E95</f>
        <v>81025</v>
      </c>
      <c r="F114" s="30">
        <v>0</v>
      </c>
      <c r="G114" s="87">
        <f t="shared" si="33"/>
        <v>0</v>
      </c>
      <c r="H114" s="30">
        <v>0</v>
      </c>
      <c r="I114" s="104">
        <f t="shared" si="34"/>
        <v>0</v>
      </c>
      <c r="J114" s="152">
        <v>0</v>
      </c>
      <c r="K114" s="87">
        <f t="shared" si="35"/>
        <v>0</v>
      </c>
      <c r="L114" s="30">
        <v>0</v>
      </c>
      <c r="M114" s="154">
        <f t="shared" si="36"/>
        <v>0</v>
      </c>
      <c r="N114" s="118"/>
      <c r="O114" s="87"/>
      <c r="P114" s="87"/>
      <c r="Q114" s="89"/>
      <c r="R114" s="118"/>
      <c r="S114" s="87"/>
      <c r="T114" s="87"/>
      <c r="U114" s="89"/>
      <c r="V114" s="118"/>
      <c r="W114" s="87"/>
      <c r="X114" s="87"/>
      <c r="Y114" s="89"/>
    </row>
    <row r="115" spans="2:25" x14ac:dyDescent="0.3">
      <c r="B115" s="7">
        <v>12</v>
      </c>
      <c r="C115" s="34" t="s">
        <v>469</v>
      </c>
      <c r="E115" s="87">
        <f>E92</f>
        <v>68741</v>
      </c>
      <c r="F115" s="30">
        <v>6</v>
      </c>
      <c r="G115" s="87">
        <f t="shared" si="33"/>
        <v>412446</v>
      </c>
      <c r="H115" s="30">
        <v>6</v>
      </c>
      <c r="I115" s="104">
        <f t="shared" si="34"/>
        <v>412446</v>
      </c>
      <c r="J115" s="152">
        <v>6</v>
      </c>
      <c r="K115" s="87">
        <f t="shared" si="35"/>
        <v>412446</v>
      </c>
      <c r="L115" s="30">
        <v>6</v>
      </c>
      <c r="M115" s="154">
        <f t="shared" si="36"/>
        <v>412446</v>
      </c>
      <c r="N115" s="118"/>
      <c r="O115" s="87"/>
      <c r="P115" s="87"/>
      <c r="Q115" s="89"/>
      <c r="R115" s="118"/>
      <c r="S115" s="87"/>
      <c r="T115" s="87"/>
      <c r="U115" s="89"/>
      <c r="V115" s="118"/>
      <c r="W115" s="87"/>
      <c r="X115" s="87"/>
      <c r="Y115" s="89"/>
    </row>
    <row r="116" spans="2:25" x14ac:dyDescent="0.3">
      <c r="B116" s="7">
        <v>13</v>
      </c>
      <c r="C116" s="151" t="s">
        <v>470</v>
      </c>
      <c r="D116" s="90">
        <v>0.15</v>
      </c>
      <c r="E116" s="87">
        <f>E96</f>
        <v>77345</v>
      </c>
      <c r="F116" s="30">
        <f>SUM(F104:F115)*D116</f>
        <v>12.945138888888884</v>
      </c>
      <c r="G116" s="87">
        <f>E116*F116</f>
        <v>1001241.7673611108</v>
      </c>
      <c r="H116" s="30">
        <f>SUM(H104:H115)*D116</f>
        <v>22.688888888888929</v>
      </c>
      <c r="I116" s="104">
        <f t="shared" si="34"/>
        <v>1754872.1111111143</v>
      </c>
      <c r="J116" s="30">
        <f>D116*SUM(J104:J115)</f>
        <v>32.432638888888889</v>
      </c>
      <c r="K116" s="87">
        <f t="shared" si="35"/>
        <v>2508502.454861111</v>
      </c>
      <c r="L116" s="79">
        <f>SUM(L104:L115)*D116</f>
        <v>42.176388888888845</v>
      </c>
      <c r="M116" s="154">
        <f t="shared" si="36"/>
        <v>3262132.7986111077</v>
      </c>
      <c r="N116" s="118"/>
      <c r="O116" s="87"/>
      <c r="P116" s="87"/>
      <c r="Q116" s="89"/>
      <c r="R116" s="118"/>
      <c r="S116" s="87"/>
      <c r="T116" s="87"/>
      <c r="U116" s="89"/>
      <c r="V116" s="118"/>
      <c r="W116" s="87"/>
      <c r="X116" s="87"/>
      <c r="Y116" s="89"/>
    </row>
    <row r="117" spans="2:25" s="118" customFormat="1" x14ac:dyDescent="0.3">
      <c r="C117" s="151" t="s">
        <v>456</v>
      </c>
      <c r="D117" s="90"/>
      <c r="E117" s="87"/>
      <c r="F117" s="30"/>
      <c r="G117" s="87">
        <f>G97</f>
        <v>542600</v>
      </c>
      <c r="H117" s="30"/>
      <c r="I117" s="104">
        <f>G117</f>
        <v>542600</v>
      </c>
      <c r="J117" s="30"/>
      <c r="K117" s="87">
        <f>G117</f>
        <v>542600</v>
      </c>
      <c r="L117" s="79"/>
      <c r="M117" s="154">
        <f>G117</f>
        <v>542600</v>
      </c>
      <c r="O117" s="87"/>
      <c r="P117" s="87"/>
      <c r="Q117" s="89"/>
      <c r="S117" s="87"/>
      <c r="T117" s="87"/>
      <c r="U117" s="89"/>
      <c r="W117" s="87"/>
      <c r="X117" s="87"/>
      <c r="Y117" s="89"/>
    </row>
    <row r="118" spans="2:25" s="118" customFormat="1" x14ac:dyDescent="0.3">
      <c r="C118" s="118" t="s">
        <v>488</v>
      </c>
      <c r="E118" s="87"/>
      <c r="G118" s="87">
        <v>300000</v>
      </c>
      <c r="I118" s="87">
        <v>450000</v>
      </c>
      <c r="K118" s="87">
        <v>600000</v>
      </c>
      <c r="M118" s="87">
        <v>750000</v>
      </c>
    </row>
    <row r="119" spans="2:25" x14ac:dyDescent="0.3">
      <c r="I119" s="104"/>
      <c r="N119" s="118"/>
      <c r="O119" s="118"/>
      <c r="P119" s="118"/>
      <c r="Q119" s="118"/>
      <c r="R119" s="118"/>
      <c r="S119" s="118"/>
      <c r="T119" s="118"/>
      <c r="U119" s="118"/>
      <c r="V119" s="118"/>
      <c r="W119" s="118"/>
      <c r="X119" s="118"/>
      <c r="Y119" s="118"/>
    </row>
    <row r="120" spans="2:25" x14ac:dyDescent="0.3">
      <c r="C120" s="27" t="s">
        <v>86</v>
      </c>
      <c r="D120" s="27"/>
      <c r="E120" s="27"/>
      <c r="F120" s="135">
        <f>SUM(F104:F116)</f>
        <v>99.246064814814787</v>
      </c>
      <c r="G120" s="28">
        <f>SUM(G104:G118)</f>
        <v>8651224.1516203694</v>
      </c>
      <c r="H120" s="28">
        <f t="shared" ref="H120:M120" si="37">SUM(H104:H118)</f>
        <v>173.94814814814845</v>
      </c>
      <c r="I120" s="28">
        <f t="shared" si="37"/>
        <v>14817943.120370394</v>
      </c>
      <c r="J120" s="28">
        <f t="shared" si="37"/>
        <v>248.65023148148146</v>
      </c>
      <c r="K120" s="28">
        <f t="shared" si="37"/>
        <v>20984662.089120373</v>
      </c>
      <c r="L120" s="28">
        <f t="shared" si="37"/>
        <v>323.35231481481446</v>
      </c>
      <c r="M120" s="28">
        <f t="shared" si="37"/>
        <v>27151381.057870347</v>
      </c>
      <c r="N120" s="118"/>
      <c r="O120" s="87"/>
      <c r="P120" s="87"/>
      <c r="Q120" s="89"/>
      <c r="R120" s="118"/>
      <c r="S120" s="87"/>
      <c r="T120" s="87"/>
      <c r="U120" s="89"/>
      <c r="V120" s="118"/>
      <c r="W120" s="87"/>
      <c r="X120" s="87"/>
      <c r="Y120" s="89"/>
    </row>
    <row r="121" spans="2:25" s="118" customFormat="1" x14ac:dyDescent="0.3">
      <c r="K121" s="87"/>
      <c r="L121" s="87"/>
      <c r="M121" s="89"/>
      <c r="O121" s="87"/>
      <c r="P121" s="87"/>
      <c r="Q121" s="89"/>
      <c r="S121" s="87"/>
      <c r="T121" s="87"/>
      <c r="U121" s="89"/>
      <c r="W121" s="87"/>
      <c r="X121" s="87"/>
      <c r="Y121" s="89"/>
    </row>
    <row r="122" spans="2:25" s="118" customFormat="1" x14ac:dyDescent="0.3">
      <c r="K122" s="87"/>
      <c r="L122" s="87"/>
      <c r="M122" s="89"/>
      <c r="O122" s="87"/>
      <c r="P122" s="87"/>
      <c r="Q122" s="89"/>
      <c r="S122" s="87"/>
      <c r="T122" s="87"/>
      <c r="U122" s="89"/>
      <c r="W122" s="87"/>
      <c r="X122" s="87"/>
      <c r="Y122" s="89"/>
    </row>
    <row r="123" spans="2:25" s="118" customFormat="1" x14ac:dyDescent="0.3">
      <c r="B123" s="107" t="s">
        <v>475</v>
      </c>
    </row>
    <row r="124" spans="2:25" s="118" customFormat="1" x14ac:dyDescent="0.3">
      <c r="F124" s="118" t="s">
        <v>454</v>
      </c>
      <c r="G124" s="118" t="s">
        <v>84</v>
      </c>
    </row>
    <row r="125" spans="2:25" s="118" customFormat="1" x14ac:dyDescent="0.3">
      <c r="B125" s="118">
        <v>1</v>
      </c>
      <c r="C125" s="118" t="s">
        <v>588</v>
      </c>
      <c r="E125" s="87">
        <f>E92</f>
        <v>68741</v>
      </c>
      <c r="F125" s="30">
        <v>0</v>
      </c>
      <c r="G125" s="87">
        <f>F125*E125</f>
        <v>0</v>
      </c>
    </row>
    <row r="126" spans="2:25" s="118" customFormat="1" x14ac:dyDescent="0.3">
      <c r="B126" s="118">
        <v>2</v>
      </c>
      <c r="C126" s="118" t="s">
        <v>589</v>
      </c>
      <c r="E126" s="87">
        <f>E95</f>
        <v>81025</v>
      </c>
      <c r="F126" s="30">
        <f>F105</f>
        <v>0.22222222222222221</v>
      </c>
      <c r="G126" s="87">
        <f t="shared" ref="G126:G130" si="38">F126*E126</f>
        <v>18005.555555555555</v>
      </c>
      <c r="K126" s="87"/>
      <c r="L126" s="87"/>
      <c r="M126" s="89"/>
      <c r="O126" s="87"/>
      <c r="P126" s="87"/>
      <c r="Q126" s="89"/>
      <c r="S126" s="87"/>
      <c r="T126" s="87"/>
      <c r="U126" s="89"/>
      <c r="W126" s="87"/>
      <c r="X126" s="87"/>
      <c r="Y126" s="89"/>
    </row>
    <row r="127" spans="2:25" s="118" customFormat="1" x14ac:dyDescent="0.3">
      <c r="B127" s="118">
        <v>3</v>
      </c>
      <c r="C127" s="118" t="s">
        <v>590</v>
      </c>
      <c r="E127" s="87">
        <f>E95</f>
        <v>81025</v>
      </c>
      <c r="F127" s="30">
        <f>(2.5/1.5)/24</f>
        <v>6.9444444444444448E-2</v>
      </c>
      <c r="G127" s="87">
        <f t="shared" si="38"/>
        <v>5626.7361111111113</v>
      </c>
      <c r="K127" s="87"/>
      <c r="L127" s="87"/>
      <c r="M127" s="89"/>
      <c r="O127" s="87"/>
      <c r="P127" s="87"/>
      <c r="Q127" s="89"/>
      <c r="S127" s="87"/>
      <c r="T127" s="87"/>
      <c r="U127" s="89"/>
      <c r="W127" s="87"/>
      <c r="X127" s="87"/>
      <c r="Y127" s="89"/>
    </row>
    <row r="128" spans="2:25" s="118" customFormat="1" x14ac:dyDescent="0.3">
      <c r="B128" s="118">
        <v>4</v>
      </c>
      <c r="C128" s="118" t="s">
        <v>591</v>
      </c>
      <c r="E128" s="87">
        <f>E95</f>
        <v>81025</v>
      </c>
      <c r="F128" s="30">
        <v>1</v>
      </c>
      <c r="G128" s="87">
        <f t="shared" si="38"/>
        <v>81025</v>
      </c>
      <c r="K128" s="87"/>
      <c r="L128" s="87"/>
      <c r="M128" s="89"/>
      <c r="O128" s="87"/>
      <c r="P128" s="87"/>
      <c r="Q128" s="89"/>
      <c r="S128" s="87"/>
      <c r="T128" s="87"/>
      <c r="U128" s="89"/>
      <c r="W128" s="87"/>
      <c r="X128" s="87"/>
      <c r="Y128" s="89"/>
    </row>
    <row r="129" spans="1:25" s="118" customFormat="1" x14ac:dyDescent="0.3">
      <c r="B129" s="118">
        <v>5</v>
      </c>
      <c r="C129" s="118" t="s">
        <v>592</v>
      </c>
      <c r="E129" s="87">
        <f>E95</f>
        <v>81025</v>
      </c>
      <c r="F129" s="30">
        <f>F126</f>
        <v>0.22222222222222221</v>
      </c>
      <c r="G129" s="87">
        <f t="shared" si="38"/>
        <v>18005.555555555555</v>
      </c>
      <c r="K129" s="87"/>
      <c r="L129" s="87"/>
      <c r="M129" s="89"/>
      <c r="O129" s="87"/>
      <c r="P129" s="87"/>
      <c r="Q129" s="89"/>
      <c r="S129" s="87"/>
      <c r="T129" s="87"/>
      <c r="U129" s="89"/>
      <c r="W129" s="87"/>
      <c r="X129" s="87"/>
      <c r="Y129" s="89"/>
    </row>
    <row r="130" spans="1:25" s="118" customFormat="1" x14ac:dyDescent="0.3">
      <c r="B130" s="118">
        <v>6</v>
      </c>
      <c r="C130" s="118" t="s">
        <v>593</v>
      </c>
      <c r="D130" s="90">
        <v>0.15</v>
      </c>
      <c r="E130" s="87">
        <f>E96</f>
        <v>77345</v>
      </c>
      <c r="F130" s="30">
        <f>D130*SUM(F125:F129)</f>
        <v>0.2270833333333333</v>
      </c>
      <c r="G130" s="87">
        <f t="shared" si="38"/>
        <v>17563.760416666664</v>
      </c>
      <c r="H130" s="90"/>
      <c r="K130" s="87"/>
      <c r="L130" s="87"/>
      <c r="M130" s="89"/>
      <c r="O130" s="87"/>
      <c r="P130" s="87"/>
      <c r="Q130" s="89"/>
      <c r="S130" s="87"/>
      <c r="T130" s="87"/>
      <c r="U130" s="89"/>
      <c r="W130" s="87"/>
      <c r="X130" s="87"/>
      <c r="Y130" s="89"/>
    </row>
    <row r="131" spans="1:25" s="118" customFormat="1" x14ac:dyDescent="0.3">
      <c r="D131" s="90"/>
      <c r="E131" s="87"/>
      <c r="F131" s="30"/>
      <c r="G131" s="87"/>
      <c r="H131" s="90"/>
      <c r="K131" s="87"/>
      <c r="L131" s="87"/>
      <c r="M131" s="89"/>
      <c r="O131" s="87"/>
      <c r="P131" s="87"/>
      <c r="Q131" s="89"/>
      <c r="S131" s="87"/>
      <c r="T131" s="87"/>
      <c r="U131" s="89"/>
      <c r="W131" s="87"/>
      <c r="X131" s="87"/>
      <c r="Y131" s="89"/>
    </row>
    <row r="132" spans="1:25" s="118" customFormat="1" x14ac:dyDescent="0.3">
      <c r="C132" s="27" t="s">
        <v>86</v>
      </c>
      <c r="D132" s="27"/>
      <c r="E132" s="28">
        <f>E92</f>
        <v>68741</v>
      </c>
      <c r="F132" s="135">
        <f>SUM(F125:F130)</f>
        <v>1.7409722222222221</v>
      </c>
      <c r="G132" s="28">
        <f>SUM(G125:G130)</f>
        <v>140226.60763888888</v>
      </c>
      <c r="K132" s="87"/>
      <c r="L132" s="87"/>
      <c r="M132" s="89"/>
      <c r="O132" s="87"/>
      <c r="P132" s="87"/>
      <c r="Q132" s="89"/>
      <c r="S132" s="87"/>
      <c r="T132" s="87"/>
      <c r="U132" s="89"/>
      <c r="W132" s="87"/>
      <c r="X132" s="87"/>
      <c r="Y132" s="89"/>
    </row>
    <row r="133" spans="1:25" s="118" customFormat="1" x14ac:dyDescent="0.3"/>
    <row r="135" spans="1:25" x14ac:dyDescent="0.3">
      <c r="A135" s="18" t="s">
        <v>82</v>
      </c>
      <c r="B135" s="18" t="s">
        <v>169</v>
      </c>
    </row>
    <row r="136" spans="1:25" s="118" customFormat="1" x14ac:dyDescent="0.3">
      <c r="A136" s="106"/>
      <c r="B136" s="397" t="s">
        <v>158</v>
      </c>
    </row>
    <row r="137" spans="1:25" s="118" customFormat="1" x14ac:dyDescent="0.3">
      <c r="A137" s="106"/>
      <c r="B137" s="107" t="s">
        <v>397</v>
      </c>
    </row>
    <row r="138" spans="1:25" s="118" customFormat="1" x14ac:dyDescent="0.3">
      <c r="A138" s="106"/>
      <c r="B138" s="107" t="s">
        <v>398</v>
      </c>
    </row>
    <row r="139" spans="1:25" s="118" customFormat="1" x14ac:dyDescent="0.3">
      <c r="A139" s="106"/>
      <c r="B139" s="107" t="s">
        <v>399</v>
      </c>
    </row>
    <row r="140" spans="1:25" s="118" customFormat="1" x14ac:dyDescent="0.3">
      <c r="A140" s="106"/>
      <c r="B140" s="107" t="s">
        <v>476</v>
      </c>
    </row>
    <row r="141" spans="1:25" s="118" customFormat="1" x14ac:dyDescent="0.3">
      <c r="A141" s="106"/>
      <c r="B141" s="107" t="s">
        <v>477</v>
      </c>
    </row>
    <row r="142" spans="1:25" s="118" customFormat="1" x14ac:dyDescent="0.3">
      <c r="A142" s="106"/>
      <c r="B142" s="106"/>
    </row>
    <row r="143" spans="1:25" s="118" customFormat="1" x14ac:dyDescent="0.3">
      <c r="A143" s="106"/>
      <c r="B143" s="107" t="s">
        <v>457</v>
      </c>
      <c r="E143" s="118" t="s">
        <v>454</v>
      </c>
      <c r="F143" s="118" t="s">
        <v>140</v>
      </c>
      <c r="G143" s="118">
        <v>1</v>
      </c>
      <c r="H143" s="118">
        <v>10</v>
      </c>
      <c r="I143" s="118">
        <v>50</v>
      </c>
      <c r="J143" s="118">
        <v>100</v>
      </c>
    </row>
    <row r="144" spans="1:25" s="118" customFormat="1" x14ac:dyDescent="0.3">
      <c r="A144" s="106"/>
      <c r="B144" s="397">
        <v>1</v>
      </c>
      <c r="C144" s="118" t="s">
        <v>478</v>
      </c>
      <c r="E144" s="118">
        <v>5</v>
      </c>
      <c r="F144" s="104">
        <v>26730</v>
      </c>
      <c r="G144" s="87">
        <f>F144*E144</f>
        <v>133650</v>
      </c>
      <c r="H144" s="392">
        <f>$G144*H$143</f>
        <v>1336500</v>
      </c>
      <c r="I144" s="392">
        <f t="shared" ref="I144:J144" si="39">$G144*I$143</f>
        <v>6682500</v>
      </c>
      <c r="J144" s="392">
        <f t="shared" si="39"/>
        <v>13365000</v>
      </c>
    </row>
    <row r="145" spans="1:10" s="118" customFormat="1" x14ac:dyDescent="0.3">
      <c r="A145" s="106"/>
      <c r="B145" s="397">
        <v>2</v>
      </c>
      <c r="C145" s="118" t="s">
        <v>479</v>
      </c>
      <c r="E145" s="118">
        <v>5</v>
      </c>
      <c r="F145" s="104">
        <v>26730</v>
      </c>
      <c r="G145" s="87">
        <f t="shared" ref="G145:G148" si="40">F145*E145</f>
        <v>133650</v>
      </c>
      <c r="H145" s="392">
        <f t="shared" ref="H145:J148" si="41">$G145*H$143</f>
        <v>1336500</v>
      </c>
      <c r="I145" s="392">
        <f t="shared" si="41"/>
        <v>6682500</v>
      </c>
      <c r="J145" s="392">
        <f t="shared" si="41"/>
        <v>13365000</v>
      </c>
    </row>
    <row r="146" spans="1:10" s="118" customFormat="1" x14ac:dyDescent="0.3">
      <c r="A146" s="106"/>
      <c r="B146" s="397">
        <v>3</v>
      </c>
      <c r="C146" s="118" t="s">
        <v>480</v>
      </c>
      <c r="E146" s="118">
        <v>2</v>
      </c>
      <c r="F146" s="104">
        <v>26730</v>
      </c>
      <c r="G146" s="87">
        <f t="shared" si="40"/>
        <v>53460</v>
      </c>
      <c r="H146" s="392">
        <f t="shared" si="41"/>
        <v>534600</v>
      </c>
      <c r="I146" s="392">
        <f t="shared" si="41"/>
        <v>2673000</v>
      </c>
      <c r="J146" s="392">
        <f t="shared" si="41"/>
        <v>5346000</v>
      </c>
    </row>
    <row r="147" spans="1:10" s="118" customFormat="1" x14ac:dyDescent="0.3">
      <c r="A147" s="106"/>
      <c r="B147" s="397">
        <v>4</v>
      </c>
      <c r="C147" s="118" t="s">
        <v>481</v>
      </c>
      <c r="E147" s="118">
        <v>2</v>
      </c>
      <c r="F147" s="104">
        <v>26730</v>
      </c>
      <c r="G147" s="87">
        <f t="shared" si="40"/>
        <v>53460</v>
      </c>
      <c r="H147" s="392">
        <f t="shared" si="41"/>
        <v>534600</v>
      </c>
      <c r="I147" s="392">
        <f t="shared" si="41"/>
        <v>2673000</v>
      </c>
      <c r="J147" s="392">
        <f t="shared" si="41"/>
        <v>5346000</v>
      </c>
    </row>
    <row r="148" spans="1:10" s="118" customFormat="1" x14ac:dyDescent="0.3">
      <c r="A148" s="106"/>
      <c r="B148" s="397">
        <v>5</v>
      </c>
      <c r="C148" s="118" t="s">
        <v>470</v>
      </c>
      <c r="D148" s="90">
        <v>0.25</v>
      </c>
      <c r="E148" s="118">
        <f>SUM(E144:E147)*D148</f>
        <v>3.5</v>
      </c>
      <c r="F148" s="104">
        <v>26730</v>
      </c>
      <c r="G148" s="87">
        <f t="shared" si="40"/>
        <v>93555</v>
      </c>
      <c r="H148" s="392">
        <f t="shared" si="41"/>
        <v>935550</v>
      </c>
      <c r="I148" s="392">
        <f t="shared" si="41"/>
        <v>4677750</v>
      </c>
      <c r="J148" s="392">
        <f t="shared" si="41"/>
        <v>9355500</v>
      </c>
    </row>
    <row r="149" spans="1:10" s="118" customFormat="1" x14ac:dyDescent="0.3">
      <c r="A149" s="106"/>
      <c r="B149" s="106"/>
    </row>
    <row r="150" spans="1:10" s="118" customFormat="1" x14ac:dyDescent="0.3">
      <c r="A150" s="106"/>
      <c r="B150" s="106"/>
      <c r="C150" s="27" t="s">
        <v>86</v>
      </c>
      <c r="D150" s="27"/>
      <c r="E150" s="27">
        <f>SUM(E144:E148)</f>
        <v>17.5</v>
      </c>
      <c r="F150" s="27"/>
      <c r="G150" s="28">
        <f>SUM(G144:G148)</f>
        <v>467775</v>
      </c>
      <c r="H150" s="402">
        <f t="shared" ref="H150:J150" si="42">SUM(H144:H148)</f>
        <v>4677750</v>
      </c>
      <c r="I150" s="402">
        <f t="shared" si="42"/>
        <v>23388750</v>
      </c>
      <c r="J150" s="402">
        <f t="shared" si="42"/>
        <v>46777500</v>
      </c>
    </row>
    <row r="152" spans="1:10" x14ac:dyDescent="0.3">
      <c r="A152" s="18" t="s">
        <v>83</v>
      </c>
      <c r="B152" s="18" t="s">
        <v>53</v>
      </c>
    </row>
    <row r="153" spans="1:10" s="391" customFormat="1" x14ac:dyDescent="0.3">
      <c r="A153" s="393"/>
      <c r="B153" s="397" t="s">
        <v>157</v>
      </c>
    </row>
    <row r="154" spans="1:10" s="391" customFormat="1" x14ac:dyDescent="0.3">
      <c r="A154" s="393"/>
      <c r="B154" s="397"/>
      <c r="C154" s="391" t="s">
        <v>680</v>
      </c>
    </row>
    <row r="156" spans="1:10" x14ac:dyDescent="0.3">
      <c r="B156" s="397" t="s">
        <v>457</v>
      </c>
      <c r="C156" s="391"/>
      <c r="D156" s="391"/>
      <c r="E156" s="391" t="s">
        <v>454</v>
      </c>
      <c r="F156" s="391" t="s">
        <v>140</v>
      </c>
      <c r="G156" s="391">
        <v>1</v>
      </c>
      <c r="H156" s="7">
        <v>10</v>
      </c>
      <c r="I156" s="7">
        <v>50</v>
      </c>
      <c r="J156" s="7">
        <v>100</v>
      </c>
    </row>
    <row r="157" spans="1:10" x14ac:dyDescent="0.3">
      <c r="B157" s="393"/>
      <c r="C157" s="391" t="s">
        <v>481</v>
      </c>
      <c r="D157" s="391"/>
      <c r="E157" s="391">
        <v>2</v>
      </c>
      <c r="F157" s="400">
        <v>26730</v>
      </c>
      <c r="G157" s="392">
        <f t="shared" ref="G157:G158" si="43">F157*E157</f>
        <v>53460</v>
      </c>
      <c r="H157" s="392">
        <f>$G157*H$156</f>
        <v>534600</v>
      </c>
      <c r="I157" s="392">
        <f t="shared" ref="I157:J158" si="44">$G157*I$156</f>
        <v>2673000</v>
      </c>
      <c r="J157" s="392">
        <f t="shared" si="44"/>
        <v>5346000</v>
      </c>
    </row>
    <row r="158" spans="1:10" x14ac:dyDescent="0.3">
      <c r="B158" s="393"/>
      <c r="C158" s="391" t="s">
        <v>470</v>
      </c>
      <c r="D158" s="394">
        <v>0.25</v>
      </c>
      <c r="E158" s="391">
        <f>SUM(E157:E157)*D158</f>
        <v>0.5</v>
      </c>
      <c r="F158" s="400">
        <v>26730</v>
      </c>
      <c r="G158" s="392">
        <f t="shared" si="43"/>
        <v>13365</v>
      </c>
      <c r="H158" s="392">
        <f>$G158*H$156</f>
        <v>133650</v>
      </c>
      <c r="I158" s="392">
        <f t="shared" si="44"/>
        <v>668250</v>
      </c>
      <c r="J158" s="392">
        <f t="shared" si="44"/>
        <v>1336500</v>
      </c>
    </row>
    <row r="159" spans="1:10" x14ac:dyDescent="0.3">
      <c r="B159" s="393"/>
      <c r="C159" s="391"/>
      <c r="D159" s="391"/>
      <c r="E159" s="391"/>
      <c r="F159" s="391"/>
      <c r="G159" s="391"/>
    </row>
    <row r="160" spans="1:10" x14ac:dyDescent="0.3">
      <c r="B160" s="393"/>
      <c r="C160" s="401" t="s">
        <v>86</v>
      </c>
      <c r="D160" s="401"/>
      <c r="E160" s="401">
        <f>SUM(E157:E158)</f>
        <v>2.5</v>
      </c>
      <c r="F160" s="401"/>
      <c r="G160" s="402">
        <f>SUM(G157:G158)</f>
        <v>66825</v>
      </c>
      <c r="H160" s="402">
        <f t="shared" ref="H160:J160" si="45">SUM(H157:H158)</f>
        <v>668250</v>
      </c>
      <c r="I160" s="402">
        <f t="shared" si="45"/>
        <v>3341250</v>
      </c>
      <c r="J160" s="402">
        <f t="shared" si="45"/>
        <v>6682500</v>
      </c>
    </row>
    <row r="163" spans="1:2" s="504" customFormat="1" x14ac:dyDescent="0.3">
      <c r="A163" s="393" t="s">
        <v>501</v>
      </c>
    </row>
    <row r="164" spans="1:2" s="504" customFormat="1" x14ac:dyDescent="0.3"/>
    <row r="165" spans="1:2" s="504" customFormat="1" x14ac:dyDescent="0.3"/>
    <row r="166" spans="1:2" s="504" customFormat="1" x14ac:dyDescent="0.3"/>
    <row r="167" spans="1:2" s="504" customFormat="1" x14ac:dyDescent="0.3">
      <c r="A167" s="393" t="s">
        <v>716</v>
      </c>
    </row>
    <row r="168" spans="1:2" s="504" customFormat="1" x14ac:dyDescent="0.3">
      <c r="A168" s="504" t="s">
        <v>78</v>
      </c>
      <c r="B168" s="504" t="s">
        <v>732</v>
      </c>
    </row>
    <row r="169" spans="1:2" s="504" customFormat="1" x14ac:dyDescent="0.3">
      <c r="A169" s="504" t="s">
        <v>79</v>
      </c>
      <c r="B169" s="504" t="s">
        <v>733</v>
      </c>
    </row>
    <row r="170" spans="1:2" s="504" customFormat="1" x14ac:dyDescent="0.3">
      <c r="A170" s="504" t="s">
        <v>80</v>
      </c>
      <c r="B170" s="504" t="s">
        <v>664</v>
      </c>
    </row>
    <row r="171" spans="1:2" s="504" customFormat="1" x14ac:dyDescent="0.3">
      <c r="A171" s="504" t="s">
        <v>81</v>
      </c>
      <c r="B171" s="504" t="s">
        <v>664</v>
      </c>
    </row>
    <row r="172" spans="1:2" s="504" customFormat="1" x14ac:dyDescent="0.3">
      <c r="A172" s="504" t="s">
        <v>82</v>
      </c>
      <c r="B172" s="504" t="s">
        <v>664</v>
      </c>
    </row>
    <row r="173" spans="1:2" s="504" customFormat="1" x14ac:dyDescent="0.3">
      <c r="A173" s="504" t="s">
        <v>83</v>
      </c>
      <c r="B173" s="504" t="s">
        <v>664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zoomScale="70" zoomScaleNormal="70" workbookViewId="0">
      <selection activeCell="B12" sqref="B12"/>
    </sheetView>
  </sheetViews>
  <sheetFormatPr defaultRowHeight="14.4" x14ac:dyDescent="0.3"/>
  <cols>
    <col min="1" max="1" width="4.33203125" customWidth="1"/>
  </cols>
  <sheetData>
    <row r="1" spans="1:2" x14ac:dyDescent="0.25">
      <c r="A1" s="106" t="s">
        <v>565</v>
      </c>
    </row>
    <row r="3" spans="1:2" s="504" customFormat="1" x14ac:dyDescent="0.25">
      <c r="A3" s="393" t="s">
        <v>501</v>
      </c>
    </row>
    <row r="4" spans="1:2" s="504" customFormat="1" x14ac:dyDescent="0.25">
      <c r="B4" s="504" t="s">
        <v>734</v>
      </c>
    </row>
    <row r="5" spans="1:2" s="504" customFormat="1" x14ac:dyDescent="0.25">
      <c r="B5" s="504" t="s">
        <v>595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zoomScale="70" zoomScaleNormal="70" workbookViewId="0">
      <selection activeCell="B12" sqref="B12"/>
    </sheetView>
  </sheetViews>
  <sheetFormatPr defaultRowHeight="14.4" x14ac:dyDescent="0.3"/>
  <sheetData>
    <row r="1" spans="1:2" x14ac:dyDescent="0.25">
      <c r="A1" s="106" t="s">
        <v>566</v>
      </c>
    </row>
    <row r="3" spans="1:2" s="504" customFormat="1" x14ac:dyDescent="0.25">
      <c r="A3" s="393" t="s">
        <v>501</v>
      </c>
    </row>
    <row r="4" spans="1:2" s="504" customFormat="1" x14ac:dyDescent="0.25">
      <c r="B4" s="504" t="s">
        <v>735</v>
      </c>
    </row>
    <row r="5" spans="1:2" s="504" customFormat="1" x14ac:dyDescent="0.25">
      <c r="B5" s="504" t="s">
        <v>662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9"/>
  <sheetViews>
    <sheetView zoomScale="70" zoomScaleNormal="70" workbookViewId="0">
      <selection activeCell="B21" sqref="B21"/>
    </sheetView>
  </sheetViews>
  <sheetFormatPr defaultRowHeight="14.4" x14ac:dyDescent="0.3"/>
  <cols>
    <col min="1" max="1" width="7" customWidth="1"/>
    <col min="3" max="3" width="14.33203125" customWidth="1"/>
    <col min="4" max="4" width="7.5546875" customWidth="1"/>
    <col min="5" max="5" width="13.44140625" bestFit="1" customWidth="1"/>
    <col min="6" max="6" width="17" customWidth="1"/>
    <col min="7" max="7" width="19.88671875" customWidth="1"/>
    <col min="8" max="8" width="16.88671875" customWidth="1"/>
  </cols>
  <sheetData>
    <row r="1" spans="1:8" x14ac:dyDescent="0.25">
      <c r="A1" s="106" t="s">
        <v>303</v>
      </c>
    </row>
    <row r="3" spans="1:8" x14ac:dyDescent="0.25">
      <c r="A3" s="106" t="s">
        <v>253</v>
      </c>
      <c r="D3" t="s">
        <v>68</v>
      </c>
      <c r="E3" s="92">
        <v>1</v>
      </c>
      <c r="F3" s="92">
        <v>10</v>
      </c>
      <c r="G3" s="92">
        <v>50</v>
      </c>
      <c r="H3" s="92">
        <v>100</v>
      </c>
    </row>
    <row r="4" spans="1:8" x14ac:dyDescent="0.25">
      <c r="B4">
        <v>2.1</v>
      </c>
      <c r="C4" t="s">
        <v>54</v>
      </c>
      <c r="E4" s="85">
        <f>('CBS (Total)'!J12+'CBS (Total)'!J24+'CBS (Total)'!J30+'CBS (Total)'!J45+'CBS (Total)'!J46+'CBS (Total)'!J18)*E6</f>
        <v>1668733.8156444675</v>
      </c>
      <c r="F4" s="85">
        <f>('CBS (Total)'!L12+'CBS (Total)'!L24+'CBS (Total)'!L30+'CBS (Total)'!L45+'CBS (Total)'!L46+'CBS (Total)'!L18)*F6</f>
        <v>6347594.0217104899</v>
      </c>
      <c r="G4" s="85">
        <f>('CBS (Total)'!N12+'CBS (Total)'!N24+'CBS (Total)'!N30+'CBS (Total)'!N45+'CBS (Total)'!N46+'CBS (Total)'!N18)*G6</f>
        <v>11958608.843687041</v>
      </c>
      <c r="H4" s="85">
        <f>('CBS (Total)'!P12+'CBS (Total)'!P24+'CBS (Total)'!P30+'CBS (Total)'!P45+'CBS (Total)'!P46+'CBS (Total)'!P18)*H6</f>
        <v>11087451.57921866</v>
      </c>
    </row>
    <row r="6" spans="1:8" x14ac:dyDescent="0.25">
      <c r="E6" s="90">
        <f>C9</f>
        <v>0.02</v>
      </c>
      <c r="F6" s="90">
        <f>C10</f>
        <v>0.02</v>
      </c>
      <c r="G6" s="90">
        <f>C11</f>
        <v>0.01</v>
      </c>
      <c r="H6" s="93">
        <f>C12</f>
        <v>5.0000000000000001E-3</v>
      </c>
    </row>
    <row r="8" spans="1:8" x14ac:dyDescent="0.25">
      <c r="A8" s="106" t="s">
        <v>87</v>
      </c>
    </row>
    <row r="9" spans="1:8" x14ac:dyDescent="0.25">
      <c r="B9" t="s">
        <v>179</v>
      </c>
      <c r="C9" s="24">
        <v>0.02</v>
      </c>
      <c r="D9" t="s">
        <v>183</v>
      </c>
    </row>
    <row r="10" spans="1:8" x14ac:dyDescent="0.25">
      <c r="B10" t="s">
        <v>180</v>
      </c>
      <c r="C10" s="24">
        <v>0.02</v>
      </c>
    </row>
    <row r="11" spans="1:8" x14ac:dyDescent="0.25">
      <c r="B11" t="s">
        <v>182</v>
      </c>
      <c r="C11" s="24">
        <v>0.01</v>
      </c>
    </row>
    <row r="12" spans="1:8" x14ac:dyDescent="0.25">
      <c r="B12" t="s">
        <v>181</v>
      </c>
      <c r="C12" s="33">
        <v>5.0000000000000001E-3</v>
      </c>
      <c r="D12" t="s">
        <v>184</v>
      </c>
    </row>
    <row r="14" spans="1:8" s="504" customFormat="1" x14ac:dyDescent="0.25">
      <c r="A14" s="393" t="s">
        <v>501</v>
      </c>
    </row>
    <row r="15" spans="1:8" s="504" customFormat="1" x14ac:dyDescent="0.25">
      <c r="A15" s="504">
        <v>2.1</v>
      </c>
      <c r="B15" s="504" t="s">
        <v>736</v>
      </c>
    </row>
    <row r="16" spans="1:8" s="504" customFormat="1" x14ac:dyDescent="0.25">
      <c r="B16" s="504" t="s">
        <v>737</v>
      </c>
    </row>
    <row r="17" spans="1:2" s="504" customFormat="1" x14ac:dyDescent="0.25">
      <c r="B17" s="504" t="s">
        <v>738</v>
      </c>
    </row>
    <row r="18" spans="1:2" s="504" customFormat="1" x14ac:dyDescent="0.25">
      <c r="A18" s="393" t="s">
        <v>716</v>
      </c>
    </row>
    <row r="19" spans="1:2" s="504" customFormat="1" x14ac:dyDescent="0.25">
      <c r="A19" s="504">
        <v>2.1</v>
      </c>
      <c r="B19" s="504" t="s">
        <v>739</v>
      </c>
    </row>
  </sheetData>
  <pageMargins left="0.7" right="0.7" top="0.75" bottom="0.75" header="0.3" footer="0.3"/>
  <pageSetup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1"/>
  <sheetViews>
    <sheetView zoomScale="70" zoomScaleNormal="70" workbookViewId="0">
      <selection activeCell="A8" sqref="A8"/>
    </sheetView>
  </sheetViews>
  <sheetFormatPr defaultRowHeight="14.4" x14ac:dyDescent="0.3"/>
  <cols>
    <col min="2" max="2" width="4.88671875" customWidth="1"/>
    <col min="3" max="3" width="55.44140625" customWidth="1"/>
    <col min="4" max="4" width="9.88671875" customWidth="1"/>
    <col min="5" max="8" width="10.88671875" bestFit="1" customWidth="1"/>
  </cols>
  <sheetData>
    <row r="1" spans="1:8" x14ac:dyDescent="0.25">
      <c r="A1" s="17" t="s">
        <v>292</v>
      </c>
    </row>
    <row r="3" spans="1:8" x14ac:dyDescent="0.25">
      <c r="A3" s="106" t="s">
        <v>253</v>
      </c>
      <c r="B3" s="105"/>
      <c r="C3" s="105"/>
      <c r="D3" t="s">
        <v>68</v>
      </c>
      <c r="E3" s="110">
        <v>1</v>
      </c>
      <c r="F3" s="110">
        <v>10</v>
      </c>
      <c r="G3" s="110">
        <v>50</v>
      </c>
      <c r="H3" s="110">
        <v>100</v>
      </c>
    </row>
    <row r="4" spans="1:8" x14ac:dyDescent="0.25">
      <c r="A4" s="106"/>
      <c r="B4" s="105">
        <v>2.2000000000000002</v>
      </c>
      <c r="C4" s="105" t="s">
        <v>55</v>
      </c>
      <c r="E4" s="362">
        <v>1478750</v>
      </c>
      <c r="F4" s="362">
        <v>1972900</v>
      </c>
      <c r="G4" s="362">
        <v>2036150</v>
      </c>
      <c r="H4" s="362">
        <v>2036150</v>
      </c>
    </row>
    <row r="7" spans="1:8" s="504" customFormat="1" x14ac:dyDescent="0.25">
      <c r="A7" s="393" t="s">
        <v>501</v>
      </c>
    </row>
    <row r="8" spans="1:8" s="504" customFormat="1" x14ac:dyDescent="0.25">
      <c r="A8" s="504">
        <v>2.2000000000000002</v>
      </c>
    </row>
    <row r="9" spans="1:8" s="504" customFormat="1" x14ac:dyDescent="0.25"/>
    <row r="10" spans="1:8" s="504" customFormat="1" x14ac:dyDescent="0.25">
      <c r="A10" s="393" t="s">
        <v>716</v>
      </c>
    </row>
    <row r="11" spans="1:8" s="504" customFormat="1" x14ac:dyDescent="0.25">
      <c r="A11" s="504">
        <v>2.2000000000000002</v>
      </c>
      <c r="B11" s="504" t="s">
        <v>740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95"/>
  <sheetViews>
    <sheetView zoomScale="70" zoomScaleNormal="70" workbookViewId="0">
      <selection activeCell="B99" sqref="B99"/>
    </sheetView>
  </sheetViews>
  <sheetFormatPr defaultRowHeight="14.4" x14ac:dyDescent="0.3"/>
  <cols>
    <col min="1" max="1" width="3.6640625" customWidth="1"/>
    <col min="2" max="2" width="37.44140625" customWidth="1"/>
    <col min="3" max="3" width="31.6640625" customWidth="1"/>
    <col min="4" max="4" width="18" bestFit="1" customWidth="1"/>
    <col min="5" max="6" width="14.5546875" customWidth="1"/>
    <col min="7" max="7" width="17.109375" customWidth="1"/>
    <col min="8" max="8" width="20.109375" customWidth="1"/>
    <col min="11" max="11" width="17.33203125" customWidth="1"/>
    <col min="12" max="12" width="25.6640625" customWidth="1"/>
    <col min="13" max="13" width="22.33203125" customWidth="1"/>
  </cols>
  <sheetData>
    <row r="1" spans="1:8" s="105" customFormat="1" ht="15" x14ac:dyDescent="0.25">
      <c r="A1" s="106" t="s">
        <v>301</v>
      </c>
    </row>
    <row r="2" spans="1:8" s="105" customFormat="1" ht="15" x14ac:dyDescent="0.25">
      <c r="A2" t="s">
        <v>185</v>
      </c>
    </row>
    <row r="3" spans="1:8" s="105" customFormat="1" ht="15" x14ac:dyDescent="0.25">
      <c r="A3" t="s">
        <v>186</v>
      </c>
    </row>
    <row r="4" spans="1:8" s="105" customFormat="1" ht="15" x14ac:dyDescent="0.25">
      <c r="A4" t="s">
        <v>187</v>
      </c>
    </row>
    <row r="5" spans="1:8" s="105" customFormat="1" ht="15" x14ac:dyDescent="0.25">
      <c r="A5" t="s">
        <v>189</v>
      </c>
    </row>
    <row r="6" spans="1:8" s="105" customFormat="1" ht="15" x14ac:dyDescent="0.25"/>
    <row r="7" spans="1:8" s="105" customFormat="1" ht="15" x14ac:dyDescent="0.25">
      <c r="A7" s="106" t="s">
        <v>253</v>
      </c>
    </row>
    <row r="8" spans="1:8" s="105" customFormat="1" ht="15" x14ac:dyDescent="0.25">
      <c r="D8" s="105" t="s">
        <v>68</v>
      </c>
      <c r="E8" s="105">
        <v>1</v>
      </c>
      <c r="F8" s="105">
        <v>10</v>
      </c>
      <c r="G8" s="105">
        <v>50</v>
      </c>
      <c r="H8" s="105">
        <v>100</v>
      </c>
    </row>
    <row r="9" spans="1:8" ht="15" x14ac:dyDescent="0.25">
      <c r="B9">
        <v>2.2999999999999998</v>
      </c>
      <c r="C9" t="s">
        <v>56</v>
      </c>
      <c r="E9" s="87">
        <f>D95</f>
        <v>114995.40000000002</v>
      </c>
      <c r="F9" s="87">
        <f t="shared" ref="F9:H9" si="0">E95</f>
        <v>1149954.0000000002</v>
      </c>
      <c r="G9" s="87">
        <f t="shared" si="0"/>
        <v>5749770.0000000009</v>
      </c>
      <c r="H9" s="87">
        <f t="shared" si="0"/>
        <v>11499540.000000002</v>
      </c>
    </row>
    <row r="11" spans="1:8" s="17" customFormat="1" ht="15" x14ac:dyDescent="0.25"/>
    <row r="12" spans="1:8" s="17" customFormat="1" ht="15" x14ac:dyDescent="0.25">
      <c r="A12" s="157" t="s">
        <v>238</v>
      </c>
      <c r="B12" s="155"/>
      <c r="C12" s="11"/>
      <c r="D12" s="11"/>
      <c r="E12" s="11"/>
      <c r="F12" s="11"/>
      <c r="G12" s="11"/>
      <c r="H12" s="11"/>
    </row>
    <row r="13" spans="1:8" s="17" customFormat="1" ht="15" x14ac:dyDescent="0.25">
      <c r="A13" s="155"/>
      <c r="B13" s="155" t="s">
        <v>88</v>
      </c>
      <c r="C13" s="11"/>
      <c r="D13" s="11"/>
      <c r="E13" s="11"/>
      <c r="F13" s="11"/>
      <c r="G13" s="11"/>
      <c r="H13" s="11"/>
    </row>
    <row r="14" spans="1:8" s="17" customFormat="1" ht="15" x14ac:dyDescent="0.25">
      <c r="A14" s="155"/>
      <c r="B14" s="155" t="s">
        <v>161</v>
      </c>
      <c r="C14" s="11"/>
      <c r="D14" s="11"/>
      <c r="E14" s="11"/>
      <c r="F14" s="11"/>
      <c r="G14" s="11"/>
      <c r="H14" s="11"/>
    </row>
    <row r="15" spans="1:8" s="17" customFormat="1" ht="15" x14ac:dyDescent="0.25">
      <c r="A15" s="155"/>
      <c r="B15" s="155" t="s">
        <v>89</v>
      </c>
      <c r="C15" s="11"/>
      <c r="D15" s="11"/>
      <c r="E15" s="11"/>
      <c r="F15" s="11"/>
      <c r="G15" s="11"/>
      <c r="H15" s="11"/>
    </row>
    <row r="16" spans="1:8" s="17" customFormat="1" ht="15" x14ac:dyDescent="0.25">
      <c r="A16" s="155"/>
      <c r="B16" s="155" t="s">
        <v>90</v>
      </c>
      <c r="C16" s="11"/>
      <c r="D16" s="11"/>
      <c r="E16" s="11"/>
      <c r="F16" s="11"/>
      <c r="G16" s="11"/>
      <c r="H16" s="11"/>
    </row>
    <row r="17" spans="1:9" s="17" customFormat="1" ht="15" x14ac:dyDescent="0.25">
      <c r="A17" s="155"/>
      <c r="B17" s="155" t="s">
        <v>162</v>
      </c>
      <c r="C17" s="11"/>
      <c r="D17" s="11"/>
      <c r="E17" s="11"/>
      <c r="F17" s="11"/>
      <c r="G17" s="11"/>
      <c r="H17" s="11"/>
    </row>
    <row r="18" spans="1:9" s="17" customFormat="1" ht="15" x14ac:dyDescent="0.25">
      <c r="A18" s="155"/>
      <c r="B18" s="155" t="s">
        <v>163</v>
      </c>
      <c r="C18" s="11"/>
      <c r="D18" s="11"/>
      <c r="E18" s="11"/>
      <c r="F18" s="11"/>
      <c r="G18" s="11"/>
      <c r="H18" s="11"/>
    </row>
    <row r="19" spans="1:9" s="17" customFormat="1" ht="15" x14ac:dyDescent="0.25">
      <c r="A19" s="11"/>
      <c r="B19" s="11"/>
      <c r="C19" s="11"/>
      <c r="D19" s="11"/>
      <c r="E19" s="11"/>
      <c r="F19" s="11"/>
      <c r="G19" s="11"/>
      <c r="H19" s="11"/>
    </row>
    <row r="20" spans="1:9" s="17" customFormat="1" ht="15" x14ac:dyDescent="0.25">
      <c r="A20" s="11"/>
      <c r="B20" s="12" t="s">
        <v>239</v>
      </c>
      <c r="C20" s="11"/>
      <c r="D20" s="11"/>
      <c r="E20" s="11"/>
      <c r="F20" s="11"/>
      <c r="G20" s="11"/>
      <c r="H20" s="11"/>
    </row>
    <row r="21" spans="1:9" s="17" customFormat="1" ht="15" x14ac:dyDescent="0.25">
      <c r="A21" s="11"/>
      <c r="B21" s="132"/>
      <c r="C21" s="133"/>
      <c r="D21" s="133"/>
      <c r="E21" s="133"/>
      <c r="F21" s="133"/>
      <c r="G21" s="11"/>
      <c r="H21" s="11"/>
    </row>
    <row r="22" spans="1:9" s="17" customFormat="1" ht="18" x14ac:dyDescent="0.25">
      <c r="A22" s="11"/>
      <c r="B22" s="129"/>
      <c r="C22" s="130"/>
      <c r="D22" s="130"/>
      <c r="E22" s="130"/>
      <c r="F22" s="130"/>
      <c r="G22" s="11"/>
      <c r="H22" s="13"/>
    </row>
    <row r="23" spans="1:9" s="17" customFormat="1" ht="43.5" x14ac:dyDescent="0.25">
      <c r="A23" s="11"/>
      <c r="B23" s="164" t="s">
        <v>91</v>
      </c>
      <c r="C23" s="165" t="s">
        <v>92</v>
      </c>
      <c r="D23" s="166" t="s">
        <v>364</v>
      </c>
      <c r="E23" s="167" t="s">
        <v>93</v>
      </c>
      <c r="F23" s="166" t="s">
        <v>373</v>
      </c>
      <c r="G23" s="166" t="s">
        <v>94</v>
      </c>
      <c r="H23" s="166" t="s">
        <v>374</v>
      </c>
    </row>
    <row r="24" spans="1:9" s="17" customFormat="1" ht="15" x14ac:dyDescent="0.25">
      <c r="A24" s="11"/>
      <c r="B24" s="168" t="s">
        <v>95</v>
      </c>
      <c r="C24" s="169" t="s">
        <v>96</v>
      </c>
      <c r="D24" s="170">
        <v>3</v>
      </c>
      <c r="E24" s="171">
        <v>0.05</v>
      </c>
      <c r="F24" s="172">
        <f>D24*E24</f>
        <v>0.15000000000000002</v>
      </c>
      <c r="G24" s="155" t="s">
        <v>97</v>
      </c>
      <c r="H24" s="173">
        <f>D24*E24</f>
        <v>0.15000000000000002</v>
      </c>
      <c r="I24" s="131"/>
    </row>
    <row r="25" spans="1:9" s="17" customFormat="1" ht="15" x14ac:dyDescent="0.25">
      <c r="A25" s="11"/>
      <c r="B25" s="174" t="s">
        <v>98</v>
      </c>
      <c r="C25" s="175" t="s">
        <v>99</v>
      </c>
      <c r="D25" s="176">
        <v>3</v>
      </c>
      <c r="E25" s="177">
        <v>1</v>
      </c>
      <c r="F25" s="178">
        <f t="shared" ref="F25:F52" si="1">D25*E25</f>
        <v>3</v>
      </c>
      <c r="G25" s="179" t="s">
        <v>101</v>
      </c>
      <c r="H25" s="180">
        <v>0</v>
      </c>
    </row>
    <row r="26" spans="1:9" s="17" customFormat="1" ht="15" x14ac:dyDescent="0.25">
      <c r="A26" s="11"/>
      <c r="B26" s="181" t="s">
        <v>98</v>
      </c>
      <c r="C26" s="182" t="s">
        <v>100</v>
      </c>
      <c r="D26" s="170">
        <v>3</v>
      </c>
      <c r="E26" s="171">
        <v>0.05</v>
      </c>
      <c r="F26" s="183">
        <f t="shared" si="1"/>
        <v>0.15000000000000002</v>
      </c>
      <c r="G26" s="184" t="s">
        <v>97</v>
      </c>
      <c r="H26" s="185">
        <f t="shared" ref="H26:H29" si="2">D26*E26</f>
        <v>0.15000000000000002</v>
      </c>
    </row>
    <row r="27" spans="1:9" s="17" customFormat="1" ht="15" x14ac:dyDescent="0.25">
      <c r="A27" s="11"/>
      <c r="B27" s="181" t="s">
        <v>98</v>
      </c>
      <c r="C27" s="182" t="s">
        <v>102</v>
      </c>
      <c r="D27" s="170">
        <v>3</v>
      </c>
      <c r="E27" s="171">
        <v>1.23</v>
      </c>
      <c r="F27" s="183">
        <f t="shared" si="1"/>
        <v>3.69</v>
      </c>
      <c r="G27" s="184" t="s">
        <v>97</v>
      </c>
      <c r="H27" s="185">
        <f t="shared" si="2"/>
        <v>3.69</v>
      </c>
    </row>
    <row r="28" spans="1:9" s="17" customFormat="1" ht="15" x14ac:dyDescent="0.25">
      <c r="A28" s="11"/>
      <c r="B28" s="181" t="s">
        <v>98</v>
      </c>
      <c r="C28" s="182" t="s">
        <v>103</v>
      </c>
      <c r="D28" s="170">
        <v>3</v>
      </c>
      <c r="E28" s="171">
        <v>1.43</v>
      </c>
      <c r="F28" s="183">
        <f t="shared" si="1"/>
        <v>4.29</v>
      </c>
      <c r="G28" s="184" t="s">
        <v>97</v>
      </c>
      <c r="H28" s="185">
        <f t="shared" si="2"/>
        <v>4.29</v>
      </c>
    </row>
    <row r="29" spans="1:9" s="17" customFormat="1" ht="15" x14ac:dyDescent="0.25">
      <c r="A29" s="11"/>
      <c r="B29" s="181" t="s">
        <v>98</v>
      </c>
      <c r="C29" s="182" t="s">
        <v>104</v>
      </c>
      <c r="D29" s="170">
        <v>3</v>
      </c>
      <c r="E29" s="171">
        <v>1.17</v>
      </c>
      <c r="F29" s="183">
        <f t="shared" si="1"/>
        <v>3.51</v>
      </c>
      <c r="G29" s="184" t="s">
        <v>97</v>
      </c>
      <c r="H29" s="185">
        <f t="shared" si="2"/>
        <v>3.51</v>
      </c>
    </row>
    <row r="30" spans="1:9" s="17" customFormat="1" ht="15" x14ac:dyDescent="0.25">
      <c r="A30" s="11"/>
      <c r="B30" s="181" t="s">
        <v>105</v>
      </c>
      <c r="C30" s="182" t="s">
        <v>106</v>
      </c>
      <c r="D30" s="170">
        <v>1</v>
      </c>
      <c r="E30" s="171">
        <v>0.05</v>
      </c>
      <c r="F30" s="183">
        <f t="shared" si="1"/>
        <v>0.05</v>
      </c>
      <c r="G30" s="155" t="s">
        <v>97</v>
      </c>
      <c r="H30" s="185">
        <f>D30*E30</f>
        <v>0.05</v>
      </c>
    </row>
    <row r="31" spans="1:9" s="17" customFormat="1" ht="15" x14ac:dyDescent="0.25">
      <c r="A31" s="11"/>
      <c r="B31" s="181" t="s">
        <v>98</v>
      </c>
      <c r="C31" s="182" t="s">
        <v>107</v>
      </c>
      <c r="D31" s="170">
        <v>1</v>
      </c>
      <c r="E31" s="171">
        <v>0.39</v>
      </c>
      <c r="F31" s="183">
        <f t="shared" si="1"/>
        <v>0.39</v>
      </c>
      <c r="G31" s="155" t="s">
        <v>97</v>
      </c>
      <c r="H31" s="185">
        <f>D31*E31</f>
        <v>0.39</v>
      </c>
    </row>
    <row r="32" spans="1:9" s="17" customFormat="1" ht="15" x14ac:dyDescent="0.25">
      <c r="A32" s="11"/>
      <c r="B32" s="181" t="s">
        <v>108</v>
      </c>
      <c r="C32" s="182" t="s">
        <v>109</v>
      </c>
      <c r="D32" s="170">
        <v>1</v>
      </c>
      <c r="E32" s="171">
        <v>0.05</v>
      </c>
      <c r="F32" s="183">
        <f t="shared" si="1"/>
        <v>0.05</v>
      </c>
      <c r="G32" s="155" t="s">
        <v>97</v>
      </c>
      <c r="H32" s="185">
        <f>D32*E32</f>
        <v>0.05</v>
      </c>
    </row>
    <row r="33" spans="1:8" s="17" customFormat="1" ht="15" x14ac:dyDescent="0.25">
      <c r="A33" s="11"/>
      <c r="B33" s="181" t="s">
        <v>98</v>
      </c>
      <c r="C33" s="182" t="s">
        <v>110</v>
      </c>
      <c r="D33" s="170">
        <v>1</v>
      </c>
      <c r="E33" s="171">
        <v>0.67</v>
      </c>
      <c r="F33" s="183">
        <f t="shared" si="1"/>
        <v>0.67</v>
      </c>
      <c r="G33" s="155" t="s">
        <v>97</v>
      </c>
      <c r="H33" s="185">
        <f>D33*E33</f>
        <v>0.67</v>
      </c>
    </row>
    <row r="34" spans="1:8" s="17" customFormat="1" ht="15" x14ac:dyDescent="0.25">
      <c r="A34" s="11"/>
      <c r="B34" s="181" t="s">
        <v>98</v>
      </c>
      <c r="C34" s="182" t="s">
        <v>111</v>
      </c>
      <c r="D34" s="170">
        <v>1</v>
      </c>
      <c r="E34" s="171">
        <v>0.67</v>
      </c>
      <c r="F34" s="183">
        <f t="shared" si="1"/>
        <v>0.67</v>
      </c>
      <c r="G34" s="155" t="s">
        <v>97</v>
      </c>
      <c r="H34" s="185">
        <f>D34*E34</f>
        <v>0.67</v>
      </c>
    </row>
    <row r="35" spans="1:8" s="17" customFormat="1" ht="15" x14ac:dyDescent="0.25">
      <c r="A35" s="11"/>
      <c r="B35" s="174" t="s">
        <v>98</v>
      </c>
      <c r="C35" s="175" t="s">
        <v>112</v>
      </c>
      <c r="D35" s="176">
        <v>3</v>
      </c>
      <c r="E35" s="177">
        <v>1.47</v>
      </c>
      <c r="F35" s="178">
        <f t="shared" si="1"/>
        <v>4.41</v>
      </c>
      <c r="G35" s="179" t="s">
        <v>101</v>
      </c>
      <c r="H35" s="180"/>
    </row>
    <row r="36" spans="1:8" s="17" customFormat="1" ht="15" x14ac:dyDescent="0.25">
      <c r="A36" s="11"/>
      <c r="B36" s="174" t="s">
        <v>98</v>
      </c>
      <c r="C36" s="175" t="s">
        <v>113</v>
      </c>
      <c r="D36" s="176">
        <v>2</v>
      </c>
      <c r="E36" s="177">
        <v>0.97</v>
      </c>
      <c r="F36" s="178">
        <f t="shared" si="1"/>
        <v>1.94</v>
      </c>
      <c r="G36" s="179" t="s">
        <v>101</v>
      </c>
      <c r="H36" s="180"/>
    </row>
    <row r="37" spans="1:8" s="17" customFormat="1" ht="15" x14ac:dyDescent="0.25">
      <c r="A37" s="11"/>
      <c r="B37" s="181" t="s">
        <v>114</v>
      </c>
      <c r="C37" s="182" t="s">
        <v>115</v>
      </c>
      <c r="D37" s="170">
        <v>1</v>
      </c>
      <c r="E37" s="171">
        <v>0.05</v>
      </c>
      <c r="F37" s="183">
        <f t="shared" si="1"/>
        <v>0.05</v>
      </c>
      <c r="G37" s="155" t="s">
        <v>97</v>
      </c>
      <c r="H37" s="185">
        <f>D37*E37</f>
        <v>0.05</v>
      </c>
    </row>
    <row r="38" spans="1:8" s="17" customFormat="1" ht="15" x14ac:dyDescent="0.25">
      <c r="A38" s="11"/>
      <c r="B38" s="181" t="s">
        <v>98</v>
      </c>
      <c r="C38" s="182" t="s">
        <v>116</v>
      </c>
      <c r="D38" s="170">
        <v>2</v>
      </c>
      <c r="E38" s="171">
        <v>0.92</v>
      </c>
      <c r="F38" s="183">
        <f t="shared" si="1"/>
        <v>1.84</v>
      </c>
      <c r="G38" s="155" t="s">
        <v>97</v>
      </c>
      <c r="H38" s="185">
        <f>D38*E38</f>
        <v>1.84</v>
      </c>
    </row>
    <row r="39" spans="1:8" s="17" customFormat="1" ht="15" x14ac:dyDescent="0.25">
      <c r="A39" s="11"/>
      <c r="B39" s="174" t="s">
        <v>98</v>
      </c>
      <c r="C39" s="175" t="s">
        <v>117</v>
      </c>
      <c r="D39" s="176">
        <v>2</v>
      </c>
      <c r="E39" s="177">
        <v>0.97</v>
      </c>
      <c r="F39" s="178">
        <f t="shared" si="1"/>
        <v>1.94</v>
      </c>
      <c r="G39" s="179" t="s">
        <v>101</v>
      </c>
      <c r="H39" s="180"/>
    </row>
    <row r="40" spans="1:8" s="17" customFormat="1" ht="15" x14ac:dyDescent="0.25">
      <c r="A40" s="11"/>
      <c r="B40" s="181" t="s">
        <v>98</v>
      </c>
      <c r="C40" s="182" t="s">
        <v>118</v>
      </c>
      <c r="D40" s="170">
        <v>3</v>
      </c>
      <c r="E40" s="171">
        <v>0.78</v>
      </c>
      <c r="F40" s="183">
        <f t="shared" si="1"/>
        <v>2.34</v>
      </c>
      <c r="G40" s="155" t="s">
        <v>97</v>
      </c>
      <c r="H40" s="185">
        <f>D40*E40</f>
        <v>2.34</v>
      </c>
    </row>
    <row r="41" spans="1:8" s="17" customFormat="1" ht="15" x14ac:dyDescent="0.25">
      <c r="A41" s="11"/>
      <c r="B41" s="174" t="s">
        <v>119</v>
      </c>
      <c r="C41" s="175" t="s">
        <v>120</v>
      </c>
      <c r="D41" s="176">
        <v>3</v>
      </c>
      <c r="E41" s="177">
        <v>1.9366666666666668</v>
      </c>
      <c r="F41" s="178">
        <f t="shared" si="1"/>
        <v>5.8100000000000005</v>
      </c>
      <c r="G41" s="179" t="s">
        <v>101</v>
      </c>
      <c r="H41" s="180"/>
    </row>
    <row r="42" spans="1:8" s="17" customFormat="1" ht="15" x14ac:dyDescent="0.25">
      <c r="A42" s="11"/>
      <c r="B42" s="174" t="s">
        <v>98</v>
      </c>
      <c r="C42" s="175" t="s">
        <v>121</v>
      </c>
      <c r="D42" s="176">
        <v>2</v>
      </c>
      <c r="E42" s="177">
        <v>0.1</v>
      </c>
      <c r="F42" s="178">
        <f t="shared" si="1"/>
        <v>0.2</v>
      </c>
      <c r="G42" s="179" t="s">
        <v>101</v>
      </c>
      <c r="H42" s="180"/>
    </row>
    <row r="43" spans="1:8" s="17" customFormat="1" ht="15" x14ac:dyDescent="0.25">
      <c r="A43" s="11"/>
      <c r="B43" s="174" t="s">
        <v>98</v>
      </c>
      <c r="C43" s="175" t="s">
        <v>122</v>
      </c>
      <c r="D43" s="176">
        <v>1</v>
      </c>
      <c r="E43" s="177">
        <v>3.4</v>
      </c>
      <c r="F43" s="178">
        <f t="shared" si="1"/>
        <v>3.4</v>
      </c>
      <c r="G43" s="179" t="s">
        <v>101</v>
      </c>
      <c r="H43" s="180"/>
    </row>
    <row r="44" spans="1:8" s="17" customFormat="1" ht="15" x14ac:dyDescent="0.25">
      <c r="A44" s="11"/>
      <c r="B44" s="174" t="s">
        <v>98</v>
      </c>
      <c r="C44" s="175" t="s">
        <v>123</v>
      </c>
      <c r="D44" s="176">
        <v>1</v>
      </c>
      <c r="E44" s="177">
        <v>1.46</v>
      </c>
      <c r="F44" s="178">
        <f t="shared" si="1"/>
        <v>1.46</v>
      </c>
      <c r="G44" s="179" t="s">
        <v>101</v>
      </c>
      <c r="H44" s="180"/>
    </row>
    <row r="45" spans="1:8" s="17" customFormat="1" ht="15" x14ac:dyDescent="0.25">
      <c r="A45" s="11"/>
      <c r="B45" s="174" t="s">
        <v>98</v>
      </c>
      <c r="C45" s="175" t="s">
        <v>124</v>
      </c>
      <c r="D45" s="176">
        <v>4</v>
      </c>
      <c r="E45" s="177">
        <v>1.4750000000000001</v>
      </c>
      <c r="F45" s="178">
        <f t="shared" si="1"/>
        <v>5.9</v>
      </c>
      <c r="G45" s="179" t="s">
        <v>101</v>
      </c>
      <c r="H45" s="180"/>
    </row>
    <row r="46" spans="1:8" s="17" customFormat="1" ht="15" x14ac:dyDescent="0.25">
      <c r="A46" s="11"/>
      <c r="B46" s="174" t="s">
        <v>125</v>
      </c>
      <c r="C46" s="175" t="s">
        <v>126</v>
      </c>
      <c r="D46" s="176">
        <v>1</v>
      </c>
      <c r="E46" s="177">
        <v>1.17</v>
      </c>
      <c r="F46" s="178">
        <f t="shared" si="1"/>
        <v>1.17</v>
      </c>
      <c r="G46" s="179" t="s">
        <v>101</v>
      </c>
      <c r="H46" s="180"/>
    </row>
    <row r="47" spans="1:8" s="17" customFormat="1" ht="15" x14ac:dyDescent="0.25">
      <c r="A47" s="11"/>
      <c r="B47" s="174" t="s">
        <v>98</v>
      </c>
      <c r="C47" s="175" t="s">
        <v>127</v>
      </c>
      <c r="D47" s="176">
        <v>1</v>
      </c>
      <c r="E47" s="177">
        <v>1.17</v>
      </c>
      <c r="F47" s="178">
        <f t="shared" si="1"/>
        <v>1.17</v>
      </c>
      <c r="G47" s="179" t="s">
        <v>101</v>
      </c>
      <c r="H47" s="180"/>
    </row>
    <row r="48" spans="1:8" s="17" customFormat="1" ht="15" x14ac:dyDescent="0.25">
      <c r="A48" s="11"/>
      <c r="B48" s="174" t="s">
        <v>98</v>
      </c>
      <c r="C48" s="175" t="s">
        <v>128</v>
      </c>
      <c r="D48" s="176">
        <v>2</v>
      </c>
      <c r="E48" s="177">
        <v>1.17</v>
      </c>
      <c r="F48" s="178">
        <f t="shared" si="1"/>
        <v>2.34</v>
      </c>
      <c r="G48" s="179" t="s">
        <v>101</v>
      </c>
      <c r="H48" s="180"/>
    </row>
    <row r="49" spans="1:8" s="17" customFormat="1" ht="15" x14ac:dyDescent="0.25">
      <c r="A49" s="11"/>
      <c r="B49" s="174" t="s">
        <v>98</v>
      </c>
      <c r="C49" s="175" t="s">
        <v>129</v>
      </c>
      <c r="D49" s="176">
        <v>17</v>
      </c>
      <c r="E49" s="177">
        <v>1.2841176470588236</v>
      </c>
      <c r="F49" s="178">
        <f t="shared" si="1"/>
        <v>21.830000000000002</v>
      </c>
      <c r="G49" s="179" t="s">
        <v>101</v>
      </c>
      <c r="H49" s="180"/>
    </row>
    <row r="50" spans="1:8" s="17" customFormat="1" ht="15" x14ac:dyDescent="0.25">
      <c r="A50" s="11"/>
      <c r="B50" s="174" t="s">
        <v>98</v>
      </c>
      <c r="C50" s="175" t="s">
        <v>130</v>
      </c>
      <c r="D50" s="176">
        <v>2</v>
      </c>
      <c r="E50" s="177">
        <v>1.56</v>
      </c>
      <c r="F50" s="178">
        <f t="shared" si="1"/>
        <v>3.12</v>
      </c>
      <c r="G50" s="179" t="s">
        <v>101</v>
      </c>
      <c r="H50" s="180"/>
    </row>
    <row r="51" spans="1:8" s="17" customFormat="1" ht="15" x14ac:dyDescent="0.25">
      <c r="A51" s="11"/>
      <c r="B51" s="181" t="s">
        <v>131</v>
      </c>
      <c r="C51" s="182" t="s">
        <v>132</v>
      </c>
      <c r="D51" s="170">
        <v>1</v>
      </c>
      <c r="E51" s="171">
        <v>0.77</v>
      </c>
      <c r="F51" s="183">
        <f t="shared" si="1"/>
        <v>0.77</v>
      </c>
      <c r="G51" s="155" t="s">
        <v>97</v>
      </c>
      <c r="H51" s="185">
        <f>D51*E51</f>
        <v>0.77</v>
      </c>
    </row>
    <row r="52" spans="1:8" s="17" customFormat="1" ht="15" x14ac:dyDescent="0.25">
      <c r="A52" s="12"/>
      <c r="B52" s="181" t="s">
        <v>98</v>
      </c>
      <c r="C52" s="182" t="s">
        <v>133</v>
      </c>
      <c r="D52" s="170">
        <v>1</v>
      </c>
      <c r="E52" s="171">
        <v>0.37</v>
      </c>
      <c r="F52" s="183">
        <f t="shared" si="1"/>
        <v>0.37</v>
      </c>
      <c r="G52" s="186" t="s">
        <v>97</v>
      </c>
      <c r="H52" s="185">
        <f>D52*E52</f>
        <v>0.37</v>
      </c>
    </row>
    <row r="53" spans="1:8" s="17" customFormat="1" ht="15" x14ac:dyDescent="0.25">
      <c r="A53" s="12"/>
      <c r="B53" s="181"/>
      <c r="C53" s="182" t="s">
        <v>41</v>
      </c>
      <c r="D53" s="170">
        <v>1</v>
      </c>
      <c r="E53" s="171">
        <v>1.6</v>
      </c>
      <c r="F53" s="183">
        <f>E53*D53</f>
        <v>1.6</v>
      </c>
      <c r="G53" s="187" t="s">
        <v>97</v>
      </c>
      <c r="H53" s="185">
        <f>F53</f>
        <v>1.6</v>
      </c>
    </row>
    <row r="54" spans="1:8" s="17" customFormat="1" ht="15" x14ac:dyDescent="0.25">
      <c r="A54" s="11"/>
      <c r="B54" s="181" t="s">
        <v>134</v>
      </c>
      <c r="C54" s="182" t="s">
        <v>135</v>
      </c>
      <c r="D54" s="170">
        <v>1</v>
      </c>
      <c r="E54" s="171">
        <v>0.05</v>
      </c>
      <c r="F54" s="188">
        <f>D54*E54</f>
        <v>0.05</v>
      </c>
      <c r="G54" s="189" t="s">
        <v>97</v>
      </c>
      <c r="H54" s="190">
        <f>D54*E54</f>
        <v>0.05</v>
      </c>
    </row>
    <row r="55" spans="1:8" s="17" customFormat="1" ht="15" x14ac:dyDescent="0.25">
      <c r="A55" s="11"/>
      <c r="B55" s="191" t="s">
        <v>98</v>
      </c>
      <c r="C55" s="192" t="s">
        <v>98</v>
      </c>
      <c r="D55" s="193"/>
      <c r="E55" s="165"/>
      <c r="F55" s="194">
        <f>SUM(F24:F54)</f>
        <v>78.330000000000013</v>
      </c>
      <c r="G55" s="195"/>
      <c r="H55" s="196">
        <f>SUM(H24:H54)</f>
        <v>20.640000000000004</v>
      </c>
    </row>
    <row r="56" spans="1:8" s="17" customFormat="1" ht="15" x14ac:dyDescent="0.25">
      <c r="A56" s="11"/>
      <c r="B56" s="155"/>
      <c r="C56" s="155"/>
      <c r="D56" s="155"/>
      <c r="E56" s="155" t="s">
        <v>136</v>
      </c>
      <c r="F56" s="197">
        <f>F55/20</f>
        <v>3.9165000000000005</v>
      </c>
      <c r="G56" s="195" t="s">
        <v>137</v>
      </c>
      <c r="H56" s="198">
        <f>H55/20</f>
        <v>1.0320000000000003</v>
      </c>
    </row>
    <row r="57" spans="1:8" s="17" customFormat="1" ht="15" x14ac:dyDescent="0.25">
      <c r="A57" s="11"/>
      <c r="B57" s="11"/>
      <c r="C57" s="11"/>
      <c r="D57" s="11"/>
      <c r="E57" s="11"/>
      <c r="F57" s="11"/>
      <c r="G57" s="11"/>
      <c r="H57" s="11"/>
    </row>
    <row r="58" spans="1:8" s="17" customFormat="1" x14ac:dyDescent="0.3">
      <c r="A58" s="11"/>
      <c r="B58" s="155" t="s">
        <v>156</v>
      </c>
      <c r="C58" s="155"/>
      <c r="D58" s="155"/>
      <c r="E58" s="11"/>
      <c r="F58" s="11"/>
      <c r="G58" s="11"/>
      <c r="H58" s="11"/>
    </row>
    <row r="59" spans="1:8" s="17" customFormat="1" x14ac:dyDescent="0.3">
      <c r="A59" s="11"/>
      <c r="B59" s="155" t="s">
        <v>164</v>
      </c>
      <c r="C59" s="155"/>
      <c r="D59" s="156">
        <f>F56</f>
        <v>3.9165000000000005</v>
      </c>
      <c r="E59" s="11"/>
      <c r="F59" s="11"/>
      <c r="G59" s="11"/>
      <c r="H59" s="11"/>
    </row>
    <row r="60" spans="1:8" s="17" customFormat="1" x14ac:dyDescent="0.3">
      <c r="A60" s="11"/>
      <c r="B60" s="155" t="s">
        <v>138</v>
      </c>
      <c r="C60" s="155"/>
      <c r="D60" s="156">
        <f>H56</f>
        <v>1.0320000000000003</v>
      </c>
      <c r="E60" s="11"/>
      <c r="F60" s="11"/>
      <c r="G60" s="11"/>
      <c r="H60" s="11"/>
    </row>
    <row r="61" spans="1:8" s="118" customFormat="1" x14ac:dyDescent="0.3">
      <c r="A61" s="11"/>
      <c r="B61" s="155" t="s">
        <v>372</v>
      </c>
      <c r="C61" s="155"/>
      <c r="D61" s="156">
        <v>1</v>
      </c>
      <c r="E61" s="11"/>
      <c r="F61" s="11"/>
      <c r="G61" s="11"/>
      <c r="H61" s="11"/>
    </row>
    <row r="62" spans="1:8" s="17" customFormat="1" x14ac:dyDescent="0.3">
      <c r="A62" s="11"/>
      <c r="B62" s="155" t="s">
        <v>567</v>
      </c>
      <c r="C62" s="155"/>
      <c r="D62" s="156">
        <f>D60*4+D61</f>
        <v>5.128000000000001</v>
      </c>
      <c r="E62" s="11"/>
      <c r="F62" s="11"/>
      <c r="G62" s="11"/>
      <c r="H62" s="11"/>
    </row>
    <row r="63" spans="1:8" s="17" customFormat="1" x14ac:dyDescent="0.3">
      <c r="A63" s="11"/>
      <c r="B63" s="155"/>
      <c r="C63" s="155"/>
      <c r="D63" s="155"/>
      <c r="E63" s="11"/>
      <c r="F63" s="11"/>
      <c r="G63" s="11"/>
      <c r="H63" s="11"/>
    </row>
    <row r="64" spans="1:8" s="17" customFormat="1" x14ac:dyDescent="0.3">
      <c r="B64" s="155" t="s">
        <v>165</v>
      </c>
      <c r="C64" s="155"/>
      <c r="D64" s="155"/>
      <c r="E64" s="11"/>
      <c r="F64" s="11"/>
      <c r="G64" s="11"/>
      <c r="H64" s="11"/>
    </row>
    <row r="65" spans="1:10" s="17" customFormat="1" x14ac:dyDescent="0.3">
      <c r="B65" s="155" t="s">
        <v>166</v>
      </c>
      <c r="C65" s="155"/>
      <c r="D65" s="155"/>
      <c r="E65" s="11"/>
      <c r="F65" s="11"/>
      <c r="G65" s="11"/>
      <c r="H65" s="11"/>
    </row>
    <row r="66" spans="1:10" s="17" customFormat="1" x14ac:dyDescent="0.3">
      <c r="B66" s="155"/>
      <c r="C66" s="155"/>
      <c r="D66" s="155"/>
      <c r="E66" s="11"/>
      <c r="F66" s="11"/>
      <c r="G66" s="11"/>
      <c r="H66" s="11"/>
    </row>
    <row r="67" spans="1:10" s="17" customFormat="1" x14ac:dyDescent="0.3">
      <c r="A67" s="18" t="s">
        <v>574</v>
      </c>
      <c r="D67" s="17" t="s">
        <v>342</v>
      </c>
      <c r="E67" s="110"/>
    </row>
    <row r="68" spans="1:10" s="118" customFormat="1" x14ac:dyDescent="0.3">
      <c r="A68" s="106"/>
      <c r="B68" s="118" t="s">
        <v>568</v>
      </c>
      <c r="D68" s="118">
        <v>9</v>
      </c>
    </row>
    <row r="69" spans="1:10" s="118" customFormat="1" x14ac:dyDescent="0.3">
      <c r="A69" s="106"/>
      <c r="B69" s="236" t="s">
        <v>569</v>
      </c>
      <c r="D69" s="118">
        <v>11</v>
      </c>
    </row>
    <row r="70" spans="1:10" s="118" customFormat="1" x14ac:dyDescent="0.3">
      <c r="A70" s="106"/>
      <c r="B70" s="236" t="s">
        <v>570</v>
      </c>
      <c r="D70" s="228">
        <v>17925</v>
      </c>
    </row>
    <row r="71" spans="1:10" s="118" customFormat="1" x14ac:dyDescent="0.3">
      <c r="A71" s="106"/>
      <c r="B71" s="236" t="s">
        <v>571</v>
      </c>
      <c r="D71" s="228">
        <v>4500</v>
      </c>
    </row>
    <row r="72" spans="1:10" s="118" customFormat="1" x14ac:dyDescent="0.3">
      <c r="A72" s="106"/>
    </row>
    <row r="73" spans="1:10" s="118" customFormat="1" x14ac:dyDescent="0.3">
      <c r="A73" s="106"/>
      <c r="B73" s="236" t="s">
        <v>572</v>
      </c>
      <c r="D73" s="146">
        <f>D71+D70</f>
        <v>22425</v>
      </c>
    </row>
    <row r="74" spans="1:10" s="118" customFormat="1" x14ac:dyDescent="0.3">
      <c r="A74" s="106"/>
    </row>
    <row r="75" spans="1:10" x14ac:dyDescent="0.3">
      <c r="B75" s="34" t="s">
        <v>157</v>
      </c>
      <c r="C75" s="34"/>
      <c r="D75" s="34"/>
      <c r="E75" s="34"/>
      <c r="F75" s="32"/>
      <c r="G75" s="32"/>
      <c r="H75" s="32"/>
      <c r="I75" s="32"/>
      <c r="J75" s="32"/>
    </row>
    <row r="76" spans="1:10" x14ac:dyDescent="0.3">
      <c r="B76" s="32" t="s">
        <v>576</v>
      </c>
      <c r="C76" s="32"/>
      <c r="D76" s="32"/>
      <c r="E76" s="32"/>
      <c r="F76" s="32"/>
      <c r="G76" s="32"/>
      <c r="H76" s="32"/>
      <c r="I76" s="32"/>
      <c r="J76" s="32"/>
    </row>
    <row r="77" spans="1:10" x14ac:dyDescent="0.3">
      <c r="B77" s="32" t="s">
        <v>573</v>
      </c>
      <c r="C77" s="32"/>
      <c r="D77" s="32"/>
      <c r="E77" s="32"/>
      <c r="F77" s="32"/>
      <c r="G77" s="32"/>
      <c r="H77" s="32"/>
      <c r="I77" s="32"/>
      <c r="J77" s="32"/>
    </row>
    <row r="78" spans="1:10" s="118" customFormat="1" x14ac:dyDescent="0.3">
      <c r="B78" s="32" t="s">
        <v>575</v>
      </c>
      <c r="C78" s="32"/>
      <c r="D78" s="32"/>
      <c r="E78" s="32"/>
      <c r="F78" s="32"/>
      <c r="G78" s="32"/>
      <c r="H78" s="32"/>
      <c r="I78" s="32"/>
      <c r="J78" s="32"/>
    </row>
    <row r="79" spans="1:10" x14ac:dyDescent="0.3">
      <c r="B79" s="32"/>
      <c r="C79" s="32"/>
      <c r="D79" s="32"/>
      <c r="E79" s="32"/>
      <c r="F79" s="32"/>
      <c r="G79" s="32"/>
      <c r="H79" s="32"/>
      <c r="I79" s="32"/>
      <c r="J79" s="32"/>
    </row>
    <row r="80" spans="1:10" x14ac:dyDescent="0.3">
      <c r="E80" s="26"/>
    </row>
    <row r="81" spans="1:7" x14ac:dyDescent="0.3">
      <c r="A81" s="106" t="s">
        <v>484</v>
      </c>
    </row>
    <row r="82" spans="1:7" x14ac:dyDescent="0.3">
      <c r="B82" s="84" t="s">
        <v>577</v>
      </c>
      <c r="D82" s="90">
        <v>0.6</v>
      </c>
    </row>
    <row r="83" spans="1:7" x14ac:dyDescent="0.3">
      <c r="B83" t="s">
        <v>663</v>
      </c>
      <c r="D83">
        <f>365*D82</f>
        <v>219</v>
      </c>
    </row>
    <row r="84" spans="1:7" x14ac:dyDescent="0.3">
      <c r="B84" t="s">
        <v>482</v>
      </c>
      <c r="D84" s="30">
        <f>D62</f>
        <v>5.128000000000001</v>
      </c>
    </row>
    <row r="85" spans="1:7" x14ac:dyDescent="0.3">
      <c r="B85" t="s">
        <v>483</v>
      </c>
      <c r="D85" s="25">
        <f>D83/D84</f>
        <v>42.706708268330722</v>
      </c>
    </row>
    <row r="87" spans="1:7" x14ac:dyDescent="0.3">
      <c r="B87" t="s">
        <v>158</v>
      </c>
    </row>
    <row r="88" spans="1:7" x14ac:dyDescent="0.3">
      <c r="B88" t="s">
        <v>578</v>
      </c>
    </row>
    <row r="89" spans="1:7" x14ac:dyDescent="0.3">
      <c r="B89" t="s">
        <v>579</v>
      </c>
    </row>
    <row r="91" spans="1:7" x14ac:dyDescent="0.3">
      <c r="A91" s="106" t="s">
        <v>582</v>
      </c>
      <c r="D91" s="110" t="s">
        <v>155</v>
      </c>
      <c r="E91" s="110" t="s">
        <v>247</v>
      </c>
      <c r="F91" s="110" t="s">
        <v>249</v>
      </c>
      <c r="G91" s="110" t="s">
        <v>248</v>
      </c>
    </row>
    <row r="92" spans="1:7" x14ac:dyDescent="0.3">
      <c r="B92" t="s">
        <v>580</v>
      </c>
      <c r="D92" s="25">
        <f>D62</f>
        <v>5.128000000000001</v>
      </c>
      <c r="E92" s="25">
        <f>10*D92</f>
        <v>51.280000000000008</v>
      </c>
      <c r="F92" s="25">
        <f>D92*50</f>
        <v>256.40000000000003</v>
      </c>
      <c r="G92" s="25">
        <f>D92*100</f>
        <v>512.80000000000007</v>
      </c>
    </row>
    <row r="93" spans="1:7" x14ac:dyDescent="0.3">
      <c r="B93" t="s">
        <v>581</v>
      </c>
      <c r="D93" s="146">
        <f>$D$73</f>
        <v>22425</v>
      </c>
      <c r="E93" s="146">
        <f t="shared" ref="E93:G93" si="3">$D$73</f>
        <v>22425</v>
      </c>
      <c r="F93" s="146">
        <f t="shared" si="3"/>
        <v>22425</v>
      </c>
      <c r="G93" s="146">
        <f t="shared" si="3"/>
        <v>22425</v>
      </c>
    </row>
    <row r="95" spans="1:7" x14ac:dyDescent="0.3">
      <c r="B95" s="27" t="s">
        <v>86</v>
      </c>
      <c r="C95" s="27"/>
      <c r="D95" s="229">
        <f>D93*D92</f>
        <v>114995.40000000002</v>
      </c>
      <c r="E95" s="229">
        <f t="shared" ref="E95:G95" si="4">E93*E92</f>
        <v>1149954.0000000002</v>
      </c>
      <c r="F95" s="229">
        <f t="shared" si="4"/>
        <v>5749770.0000000009</v>
      </c>
      <c r="G95" s="229">
        <f t="shared" si="4"/>
        <v>11499540.000000002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9"/>
  <sheetViews>
    <sheetView zoomScale="70" zoomScaleNormal="70" workbookViewId="0">
      <selection activeCell="H34" sqref="H34"/>
    </sheetView>
  </sheetViews>
  <sheetFormatPr defaultRowHeight="14.4" x14ac:dyDescent="0.3"/>
  <cols>
    <col min="1" max="1" width="35.6640625" customWidth="1"/>
    <col min="2" max="2" width="30.88671875" customWidth="1"/>
    <col min="3" max="3" width="21.33203125" customWidth="1"/>
    <col min="4" max="5" width="14.6640625" customWidth="1"/>
    <col min="6" max="7" width="12.6640625" customWidth="1"/>
    <col min="8" max="8" width="35.6640625" customWidth="1"/>
    <col min="9" max="14" width="12.6640625" customWidth="1"/>
  </cols>
  <sheetData>
    <row r="2" spans="1:5" ht="15" x14ac:dyDescent="0.25">
      <c r="A2" s="461" t="s">
        <v>691</v>
      </c>
      <c r="B2">
        <v>2</v>
      </c>
      <c r="C2" t="s">
        <v>692</v>
      </c>
      <c r="D2" s="449"/>
      <c r="E2" s="449"/>
    </row>
    <row r="3" spans="1:5" ht="15" x14ac:dyDescent="0.25">
      <c r="A3" s="449" t="s">
        <v>690</v>
      </c>
      <c r="B3" s="449">
        <v>1000</v>
      </c>
      <c r="C3" s="449"/>
      <c r="D3" s="447"/>
      <c r="E3" s="441"/>
    </row>
    <row r="4" spans="1:5" ht="15" x14ac:dyDescent="0.25">
      <c r="A4" s="439" t="str">
        <f>IF(B3=1,"Total Cost ($)",IF(B3=1000,"Total Cost in Thousands ($)",IF(B3=1000000,"Total Cost in Millions ($)","CostBasisnotspecified")))</f>
        <v>Total Cost in Thousands ($)</v>
      </c>
      <c r="B4" s="441"/>
      <c r="C4" s="441"/>
      <c r="D4" s="441"/>
      <c r="E4" s="441"/>
    </row>
    <row r="5" spans="1:5" x14ac:dyDescent="0.3">
      <c r="A5" s="536"/>
      <c r="B5" s="454" t="s">
        <v>214</v>
      </c>
      <c r="C5" s="453" t="s">
        <v>175</v>
      </c>
      <c r="D5" s="452" t="s">
        <v>176</v>
      </c>
      <c r="E5" s="454" t="s">
        <v>177</v>
      </c>
    </row>
    <row r="6" spans="1:5" x14ac:dyDescent="0.3">
      <c r="A6" s="537"/>
      <c r="B6" s="454" t="s">
        <v>85</v>
      </c>
      <c r="C6" s="454" t="s">
        <v>85</v>
      </c>
      <c r="D6" s="454" t="s">
        <v>85</v>
      </c>
      <c r="E6" s="454" t="s">
        <v>85</v>
      </c>
    </row>
    <row r="7" spans="1:5" ht="15" x14ac:dyDescent="0.25">
      <c r="A7" s="450" t="s">
        <v>240</v>
      </c>
      <c r="B7" s="451">
        <f>ROUND('CBS (Total)'!J4/B3,-B2)</f>
        <v>10800</v>
      </c>
      <c r="C7" s="451">
        <f>ROUND('CBS (Total)'!L4/B3,-B2)</f>
        <v>22300</v>
      </c>
      <c r="D7" s="451">
        <f>ROUND('CBS (Total)'!N4/B3,-B2)</f>
        <v>42700</v>
      </c>
      <c r="E7" s="451">
        <f>ROUND('CBS (Total)'!P4/B3,-B2)</f>
        <v>49000</v>
      </c>
    </row>
    <row r="8" spans="1:5" ht="15" x14ac:dyDescent="0.25">
      <c r="A8" s="450" t="s">
        <v>10</v>
      </c>
      <c r="B8" s="451">
        <f>ROUND('CBS (Total)'!J12/B3,-B2)</f>
        <v>34900</v>
      </c>
      <c r="C8" s="451">
        <f>ROUND('CBS (Total)'!L12/B3,-B2)</f>
        <v>36100</v>
      </c>
      <c r="D8" s="451">
        <f>ROUND('CBS (Total)'!N12/B3,-B2)</f>
        <v>74800</v>
      </c>
      <c r="E8" s="451">
        <f>ROUND('CBS (Total)'!P12/B3,-B2)</f>
        <v>119700</v>
      </c>
    </row>
    <row r="9" spans="1:5" ht="15" x14ac:dyDescent="0.25">
      <c r="A9" s="450" t="s">
        <v>19</v>
      </c>
      <c r="B9" s="451">
        <f>ROUND('CBS (Total)'!J18/B3,-B2)</f>
        <v>2200</v>
      </c>
      <c r="C9" s="451">
        <f>ROUND('CBS (Total)'!L18/B3,-B2)</f>
        <v>18400</v>
      </c>
      <c r="D9" s="451">
        <f>ROUND('CBS (Total)'!N18/B3,-B2)</f>
        <v>89900</v>
      </c>
      <c r="E9" s="451">
        <f>ROUND('CBS (Total)'!P18/B3,-B2)</f>
        <v>179500</v>
      </c>
    </row>
    <row r="10" spans="1:5" ht="15" x14ac:dyDescent="0.25">
      <c r="A10" s="450" t="s">
        <v>29</v>
      </c>
      <c r="B10" s="451">
        <f>ROUND('CBS (Total)'!J24/B3,-B2)</f>
        <v>8900</v>
      </c>
      <c r="C10" s="451">
        <f>ROUND('CBS (Total)'!L24/B3,-B2)</f>
        <v>58600</v>
      </c>
      <c r="D10" s="451">
        <f>ROUND('CBS (Total)'!N24/B3,-B2)</f>
        <v>249500</v>
      </c>
      <c r="E10" s="451">
        <f>ROUND('CBS (Total)'!P24/B3,-B2)</f>
        <v>475800</v>
      </c>
    </row>
    <row r="11" spans="1:5" ht="15" x14ac:dyDescent="0.25">
      <c r="A11" s="450" t="s">
        <v>34</v>
      </c>
      <c r="B11" s="451">
        <f>ROUND('CBS (Total)'!J30/B3,-B2)</f>
        <v>21600</v>
      </c>
      <c r="C11" s="451">
        <f>ROUND('CBS (Total)'!L30/B3,-B2)</f>
        <v>150400</v>
      </c>
      <c r="D11" s="451">
        <f>ROUND('CBS (Total)'!N30/B3,-B2)</f>
        <v>600800</v>
      </c>
      <c r="E11" s="451">
        <f>ROUND('CBS (Total)'!P30/B3,-B2)</f>
        <v>1098700</v>
      </c>
    </row>
    <row r="12" spans="1:5" s="448" customFormat="1" ht="15" x14ac:dyDescent="0.25">
      <c r="A12" s="450" t="s">
        <v>77</v>
      </c>
      <c r="B12" s="451">
        <f>ROUND('CBS (Total)'!J45/B3,-B2)</f>
        <v>3000</v>
      </c>
      <c r="C12" s="451">
        <f>ROUND('CBS (Total)'!L45/B3,-B2)</f>
        <v>20900</v>
      </c>
      <c r="D12" s="451">
        <f>ROUND('CBS (Total)'!N45/B3,-B2)</f>
        <v>85000</v>
      </c>
      <c r="E12" s="451">
        <f>ROUND('CBS (Total)'!P45/B3,-B2)</f>
        <v>157400</v>
      </c>
    </row>
    <row r="13" spans="1:5" ht="15" x14ac:dyDescent="0.25">
      <c r="A13" s="450" t="s">
        <v>49</v>
      </c>
      <c r="B13" s="451">
        <f>ROUND('CBS (Total)'!J46/B3,-B2)</f>
        <v>12800</v>
      </c>
      <c r="C13" s="451">
        <f>ROUND('CBS (Total)'!L46/B3,-B2)</f>
        <v>33000</v>
      </c>
      <c r="D13" s="451">
        <f>ROUND('CBS (Total)'!N46/B3,-B2)</f>
        <v>95800</v>
      </c>
      <c r="E13" s="451">
        <f>ROUND('CBS (Total)'!P46/B3,-B2)</f>
        <v>186500</v>
      </c>
    </row>
    <row r="14" spans="1:5" ht="15" x14ac:dyDescent="0.25">
      <c r="A14" s="450" t="s">
        <v>689</v>
      </c>
      <c r="B14" s="451">
        <f>ROUND('CBS (Total)'!J53/B3,-B2)</f>
        <v>0</v>
      </c>
      <c r="C14" s="451">
        <f>ROUND('CBS (Total)'!L53/B3,-B2)</f>
        <v>0</v>
      </c>
      <c r="D14" s="451">
        <f>ROUND('CBS (Total)'!N53/B3,-B2)</f>
        <v>0</v>
      </c>
      <c r="E14" s="451">
        <f>ROUND('CBS (Total)'!P53/B3,-B2)</f>
        <v>0</v>
      </c>
    </row>
    <row r="15" spans="1:5" ht="15" x14ac:dyDescent="0.25">
      <c r="A15" s="450" t="s">
        <v>470</v>
      </c>
      <c r="B15" s="451">
        <f>ROUND('CBS (Total)'!J54/B3,-B2)</f>
        <v>8300</v>
      </c>
      <c r="C15" s="451">
        <f>ROUND('CBS (Total)'!L54/B3,-B2)</f>
        <v>31700</v>
      </c>
      <c r="D15" s="451">
        <f>ROUND('CBS (Total)'!N54/B3,-B2)</f>
        <v>119600</v>
      </c>
      <c r="E15" s="451">
        <f>ROUND('CBS (Total)'!P54/B3,-B2)</f>
        <v>221700</v>
      </c>
    </row>
    <row r="16" spans="1:5" ht="15" x14ac:dyDescent="0.25">
      <c r="A16" s="450" t="s">
        <v>86</v>
      </c>
      <c r="B16" s="451">
        <f>SUM(B7:B15)</f>
        <v>102500</v>
      </c>
      <c r="C16" s="451">
        <f t="shared" ref="C16:E16" si="0">SUM(C7:C15)</f>
        <v>371400</v>
      </c>
      <c r="D16" s="451">
        <f t="shared" si="0"/>
        <v>1358100</v>
      </c>
      <c r="E16" s="451">
        <f t="shared" si="0"/>
        <v>2488300</v>
      </c>
    </row>
    <row r="17" spans="1:14" s="458" customFormat="1" ht="15" x14ac:dyDescent="0.25">
      <c r="A17" s="440"/>
      <c r="B17" s="443"/>
      <c r="C17" s="443"/>
      <c r="D17" s="443"/>
      <c r="E17" s="443"/>
      <c r="J17" s="480"/>
      <c r="L17" s="480"/>
      <c r="N17" s="480"/>
    </row>
    <row r="18" spans="1:14" s="458" customFormat="1" ht="15" x14ac:dyDescent="0.25">
      <c r="A18" s="458" t="s">
        <v>691</v>
      </c>
      <c r="B18">
        <v>1</v>
      </c>
      <c r="C18" s="458" t="s">
        <v>692</v>
      </c>
      <c r="D18" s="443"/>
      <c r="E18" s="443"/>
      <c r="N18" s="480"/>
    </row>
    <row r="20" spans="1:14" s="458" customFormat="1" ht="15" x14ac:dyDescent="0.25">
      <c r="A20" s="489" t="s">
        <v>0</v>
      </c>
    </row>
    <row r="21" spans="1:14" ht="15" x14ac:dyDescent="0.25">
      <c r="A21" s="444"/>
      <c r="B21" s="454" t="s">
        <v>214</v>
      </c>
      <c r="C21" s="453" t="s">
        <v>175</v>
      </c>
      <c r="D21" s="452" t="s">
        <v>176</v>
      </c>
      <c r="E21" s="454" t="s">
        <v>177</v>
      </c>
    </row>
    <row r="22" spans="1:14" ht="15" x14ac:dyDescent="0.25">
      <c r="A22" s="442"/>
      <c r="B22" s="455" t="s">
        <v>693</v>
      </c>
      <c r="C22" s="456" t="s">
        <v>693</v>
      </c>
      <c r="D22" s="457" t="s">
        <v>693</v>
      </c>
      <c r="E22" s="460" t="s">
        <v>693</v>
      </c>
    </row>
    <row r="23" spans="1:14" ht="15" x14ac:dyDescent="0.25">
      <c r="A23" s="450" t="s">
        <v>240</v>
      </c>
      <c r="B23" s="459">
        <f>ROUND('CBS ($ per kW)'!J6,-B18)</f>
        <v>2700</v>
      </c>
      <c r="C23" s="459">
        <f>ROUND('CBS ($ per kW)'!L6,-B18)</f>
        <v>560</v>
      </c>
      <c r="D23" s="459">
        <f>ROUND('CBS ($ per kW)'!N6,-B18)</f>
        <v>210</v>
      </c>
      <c r="E23" s="459">
        <f>ROUND('CBS ($ per kW)'!P6,-B18)</f>
        <v>120</v>
      </c>
    </row>
    <row r="24" spans="1:14" ht="15" x14ac:dyDescent="0.25">
      <c r="A24" s="450" t="s">
        <v>10</v>
      </c>
      <c r="B24" s="459">
        <f>ROUND('CBS ($ per kW)'!J14,-B18)</f>
        <v>8720</v>
      </c>
      <c r="C24" s="459">
        <f>ROUND('CBS ($ per kW)'!L14,-B18)</f>
        <v>900</v>
      </c>
      <c r="D24" s="459">
        <f>ROUND('CBS ($ per kW)'!N14,-B18)</f>
        <v>370</v>
      </c>
      <c r="E24" s="459">
        <f>ROUND('CBS ($ per kW)'!P14,-B18)</f>
        <v>300</v>
      </c>
    </row>
    <row r="25" spans="1:14" ht="15" x14ac:dyDescent="0.25">
      <c r="A25" s="450" t="s">
        <v>19</v>
      </c>
      <c r="B25" s="459">
        <f>ROUND('CBS ($ per kW)'!J20,-B18)</f>
        <v>560</v>
      </c>
      <c r="C25" s="459">
        <f>ROUND('CBS ($ per kW)'!L20,-B18)</f>
        <v>460</v>
      </c>
      <c r="D25" s="459">
        <f>ROUND('CBS ($ per kW)'!N20,-B18)</f>
        <v>450</v>
      </c>
      <c r="E25" s="459">
        <f>ROUND('CBS ($ per kW)'!P20,-B18)</f>
        <v>450</v>
      </c>
    </row>
    <row r="26" spans="1:14" ht="15" x14ac:dyDescent="0.25">
      <c r="A26" s="450" t="s">
        <v>29</v>
      </c>
      <c r="B26" s="459">
        <f>ROUND('CBS ($ per kW)'!J26,-B18)</f>
        <v>2210</v>
      </c>
      <c r="C26" s="459">
        <f>ROUND('CBS ($ per kW)'!L26,-B18)</f>
        <v>1460</v>
      </c>
      <c r="D26" s="459">
        <f>ROUND('CBS ($ per kW)'!N26,-B18)</f>
        <v>1250</v>
      </c>
      <c r="E26" s="459">
        <f>ROUND('CBS ($ per kW)'!P26,-B18)</f>
        <v>1190</v>
      </c>
    </row>
    <row r="27" spans="1:14" ht="15" x14ac:dyDescent="0.25">
      <c r="A27" s="450" t="s">
        <v>34</v>
      </c>
      <c r="B27" s="459">
        <f>ROUND('CBS ($ per kW)'!J32,-B18)</f>
        <v>5410</v>
      </c>
      <c r="C27" s="459">
        <f>ROUND('CBS ($ per kW)'!L32,-B18)</f>
        <v>3760</v>
      </c>
      <c r="D27" s="459">
        <f>ROUND('CBS ($ per kW)'!N32,-B18)</f>
        <v>3000</v>
      </c>
      <c r="E27" s="459">
        <f>ROUND('CBS ($ per kW)'!P32,-B18)</f>
        <v>2750</v>
      </c>
    </row>
    <row r="28" spans="1:14" ht="15" x14ac:dyDescent="0.25">
      <c r="A28" s="450" t="s">
        <v>77</v>
      </c>
      <c r="B28" s="459">
        <f>ROUND('CBS ($ per kW)'!J47,-B18)</f>
        <v>760</v>
      </c>
      <c r="C28" s="459">
        <f>ROUND('CBS ($ per kW)'!L47,-B18)</f>
        <v>520</v>
      </c>
      <c r="D28" s="459">
        <f>ROUND('CBS ($ per kW)'!N47,-B18)</f>
        <v>430</v>
      </c>
      <c r="E28" s="459">
        <f>ROUND('CBS ($ per kW)'!P47,-B18)</f>
        <v>390</v>
      </c>
    </row>
    <row r="29" spans="1:14" ht="15" x14ac:dyDescent="0.25">
      <c r="A29" s="450" t="s">
        <v>49</v>
      </c>
      <c r="B29" s="459">
        <f>ROUND('CBS ($ per kW)'!J48,-B18)</f>
        <v>3200</v>
      </c>
      <c r="C29" s="459">
        <f>ROUND('CBS ($ per kW)'!L48,-B18)</f>
        <v>830</v>
      </c>
      <c r="D29" s="459">
        <f>ROUND('CBS ($ per kW)'!N48,-B18)</f>
        <v>480</v>
      </c>
      <c r="E29" s="459">
        <f>ROUND('CBS ($ per kW)'!P48,-B18)</f>
        <v>470</v>
      </c>
    </row>
    <row r="30" spans="1:14" ht="15" x14ac:dyDescent="0.25">
      <c r="A30" s="450" t="s">
        <v>689</v>
      </c>
      <c r="B30" s="459">
        <f>ROUND('CBS ($ per kW)'!J55,-B18)</f>
        <v>0</v>
      </c>
      <c r="C30" s="459">
        <f>ROUND('CBS ($ per kW)'!L55,-B18)</f>
        <v>0</v>
      </c>
      <c r="D30" s="459">
        <f>ROUND('CBS ($ per kW)'!N55,-B18)</f>
        <v>0</v>
      </c>
      <c r="E30" s="459">
        <f>ROUND('CBS ($ per kW)'!P55,-B18)</f>
        <v>0</v>
      </c>
    </row>
    <row r="31" spans="1:14" ht="15" x14ac:dyDescent="0.25">
      <c r="A31" s="450" t="s">
        <v>470</v>
      </c>
      <c r="B31" s="459">
        <f>ROUND('CBS ($ per kW)'!J56,-B18)</f>
        <v>2090</v>
      </c>
      <c r="C31" s="459">
        <f>ROUND('CBS ($ per kW)'!L56,-B18)</f>
        <v>790</v>
      </c>
      <c r="D31" s="459">
        <f>ROUND('CBS ($ per kW)'!N56,-B18)</f>
        <v>600</v>
      </c>
      <c r="E31" s="459">
        <f>ROUND('CBS ($ per kW)'!P56,-B18)</f>
        <v>550</v>
      </c>
    </row>
    <row r="32" spans="1:14" ht="15" x14ac:dyDescent="0.25">
      <c r="A32" s="450" t="s">
        <v>86</v>
      </c>
      <c r="B32" s="445">
        <f>SUM(B23:B31)</f>
        <v>25650</v>
      </c>
      <c r="C32" s="445">
        <f t="shared" ref="C32:E32" si="1">SUM(C23:C31)</f>
        <v>9280</v>
      </c>
      <c r="D32" s="445">
        <f t="shared" si="1"/>
        <v>6790</v>
      </c>
      <c r="E32" s="445">
        <f t="shared" si="1"/>
        <v>6220</v>
      </c>
    </row>
    <row r="33" spans="1:7" s="504" customFormat="1" ht="15" x14ac:dyDescent="0.25">
      <c r="A33" s="440"/>
      <c r="B33" s="512"/>
      <c r="C33" s="512"/>
      <c r="D33" s="512"/>
      <c r="E33" s="512"/>
    </row>
    <row r="34" spans="1:7" s="504" customFormat="1" ht="15" x14ac:dyDescent="0.25">
      <c r="A34" s="440"/>
      <c r="B34" s="512"/>
      <c r="C34" s="512"/>
      <c r="D34" s="512"/>
      <c r="E34" s="512"/>
    </row>
    <row r="35" spans="1:7" s="504" customFormat="1" ht="15" x14ac:dyDescent="0.25">
      <c r="A35" s="440"/>
      <c r="B35" s="512"/>
      <c r="C35" s="512"/>
      <c r="D35" s="512"/>
      <c r="E35" s="512"/>
    </row>
    <row r="36" spans="1:7" s="504" customFormat="1" ht="15" x14ac:dyDescent="0.25">
      <c r="A36" t="s">
        <v>0</v>
      </c>
      <c r="B36"/>
      <c r="C36"/>
      <c r="D36"/>
      <c r="E36"/>
      <c r="F36"/>
      <c r="G36"/>
    </row>
    <row r="37" spans="1:7" s="504" customFormat="1" ht="15" x14ac:dyDescent="0.25">
      <c r="A37" s="469"/>
      <c r="B37" s="538" t="s">
        <v>175</v>
      </c>
      <c r="C37" s="539"/>
      <c r="D37" s="538" t="s">
        <v>176</v>
      </c>
      <c r="E37" s="539"/>
      <c r="F37" s="538" t="s">
        <v>177</v>
      </c>
      <c r="G37" s="539"/>
    </row>
    <row r="38" spans="1:7" s="504" customFormat="1" ht="15" x14ac:dyDescent="0.25">
      <c r="A38" s="467"/>
      <c r="B38" s="468" t="s">
        <v>694</v>
      </c>
      <c r="C38" s="468" t="s">
        <v>695</v>
      </c>
      <c r="D38" s="468" t="s">
        <v>694</v>
      </c>
      <c r="E38" s="468" t="s">
        <v>695</v>
      </c>
      <c r="F38" s="468" t="s">
        <v>694</v>
      </c>
      <c r="G38" s="468" t="s">
        <v>695</v>
      </c>
    </row>
    <row r="39" spans="1:7" s="504" customFormat="1" ht="15" x14ac:dyDescent="0.25">
      <c r="A39" s="464" t="s">
        <v>240</v>
      </c>
      <c r="B39" s="466">
        <f>'CBS (CoE)'!L6</f>
        <v>1.0967768601188645</v>
      </c>
      <c r="C39" s="465">
        <f t="shared" ref="C39:C47" si="2">B39/B$48</f>
        <v>5.996908178850268E-2</v>
      </c>
      <c r="D39" s="466">
        <f>'CBS (CoE)'!N6</f>
        <v>0.42052397151635146</v>
      </c>
      <c r="E39" s="482">
        <f t="shared" ref="E39:E47" si="3">D39/D$48</f>
        <v>3.1437912105545147E-2</v>
      </c>
      <c r="F39" s="463">
        <f>'CBS (CoE)'!P6</f>
        <v>0.24107789004097216</v>
      </c>
      <c r="G39" s="482">
        <f t="shared" ref="G39:G47" si="4">F39/F$48</f>
        <v>1.967487190636228E-2</v>
      </c>
    </row>
    <row r="40" spans="1:7" s="504" customFormat="1" ht="15" x14ac:dyDescent="0.25">
      <c r="A40" s="464" t="s">
        <v>10</v>
      </c>
      <c r="B40" s="466">
        <f>'CBS (CoE)'!L14</f>
        <v>1.7789889455619612</v>
      </c>
      <c r="C40" s="482">
        <f t="shared" si="2"/>
        <v>9.7270773533356045E-2</v>
      </c>
      <c r="D40" s="466">
        <f>'CBS (CoE)'!N14</f>
        <v>0.73717002628069495</v>
      </c>
      <c r="E40" s="482">
        <f t="shared" si="3"/>
        <v>5.5110024785242864E-2</v>
      </c>
      <c r="F40" s="463">
        <f>'CBS (CoE)'!P14</f>
        <v>0.58943535141426773</v>
      </c>
      <c r="G40" s="482">
        <f t="shared" si="4"/>
        <v>4.8105054487520144E-2</v>
      </c>
    </row>
    <row r="41" spans="1:7" s="504" customFormat="1" ht="15" x14ac:dyDescent="0.25">
      <c r="A41" s="464" t="s">
        <v>19</v>
      </c>
      <c r="B41" s="466">
        <f>'CBS (CoE)'!L20</f>
        <v>0.90380651675761337</v>
      </c>
      <c r="C41" s="482">
        <f t="shared" si="2"/>
        <v>4.941793439965992E-2</v>
      </c>
      <c r="D41" s="466">
        <f>'CBS (CoE)'!N20</f>
        <v>0.8855562348404229</v>
      </c>
      <c r="E41" s="482">
        <f t="shared" si="3"/>
        <v>6.6203215419666492E-2</v>
      </c>
      <c r="F41" s="463">
        <f>'CBS (CoE)'!P20</f>
        <v>0.88371989283183316</v>
      </c>
      <c r="G41" s="482">
        <f t="shared" si="4"/>
        <v>7.2122232734057518E-2</v>
      </c>
    </row>
    <row r="42" spans="1:7" s="504" customFormat="1" ht="15" x14ac:dyDescent="0.25">
      <c r="A42" s="464" t="s">
        <v>29</v>
      </c>
      <c r="B42" s="466">
        <f>'CBS (CoE)'!L26</f>
        <v>2.8848351339908977</v>
      </c>
      <c r="C42" s="482">
        <f t="shared" si="2"/>
        <v>0.1577357440581825</v>
      </c>
      <c r="D42" s="466">
        <f>'CBS (CoE)'!N26</f>
        <v>2.4570777551393941</v>
      </c>
      <c r="E42" s="482">
        <f t="shared" si="3"/>
        <v>0.18368844521282868</v>
      </c>
      <c r="F42" s="463">
        <f>'CBS (CoE)'!P26</f>
        <v>2.3428889601640619</v>
      </c>
      <c r="G42" s="482">
        <f t="shared" si="4"/>
        <v>0.1912080787426173</v>
      </c>
    </row>
    <row r="43" spans="1:7" s="504" customFormat="1" ht="15" x14ac:dyDescent="0.25">
      <c r="A43" s="464" t="s">
        <v>34</v>
      </c>
      <c r="B43" s="466">
        <f>'CBS (CoE)'!L32</f>
        <v>7.4062635285612632</v>
      </c>
      <c r="C43" s="482">
        <f t="shared" si="2"/>
        <v>0.4049564131425602</v>
      </c>
      <c r="D43" s="466">
        <f>'CBS (CoE)'!N32</f>
        <v>5.917081218381167</v>
      </c>
      <c r="E43" s="482">
        <f t="shared" si="3"/>
        <v>0.4423545192776388</v>
      </c>
      <c r="F43" s="463">
        <f>'CBS (CoE)'!P32</f>
        <v>5.4104532799449458</v>
      </c>
      <c r="G43" s="482">
        <f t="shared" si="4"/>
        <v>0.44155843250570542</v>
      </c>
    </row>
    <row r="44" spans="1:7" s="504" customFormat="1" ht="15" x14ac:dyDescent="0.25">
      <c r="A44" s="464" t="s">
        <v>77</v>
      </c>
      <c r="B44" s="466">
        <f>'CBS (CoE)'!L47</f>
        <v>1.0291098662552161</v>
      </c>
      <c r="C44" s="482">
        <f t="shared" si="2"/>
        <v>5.6269215720074262E-2</v>
      </c>
      <c r="D44" s="466">
        <f>'CBS (CoE)'!N47</f>
        <v>0.83741589735205613</v>
      </c>
      <c r="E44" s="482">
        <f t="shared" si="3"/>
        <v>6.2604296449046748E-2</v>
      </c>
      <c r="F44" s="463">
        <f>'CBS (CoE)'!P47</f>
        <v>0.77533422401090091</v>
      </c>
      <c r="G44" s="482">
        <f t="shared" si="4"/>
        <v>6.3276651124832287E-2</v>
      </c>
    </row>
    <row r="45" spans="1:7" s="504" customFormat="1" ht="15" x14ac:dyDescent="0.25">
      <c r="A45" s="464" t="s">
        <v>49</v>
      </c>
      <c r="B45" s="466">
        <f>'CBS (CoE)'!L48</f>
        <v>1.6263249918976466</v>
      </c>
      <c r="C45" s="482">
        <f t="shared" si="2"/>
        <v>8.8923481156619286E-2</v>
      </c>
      <c r="D45" s="466">
        <f>'CBS (CoE)'!N48</f>
        <v>0.94370679718550099</v>
      </c>
      <c r="E45" s="482">
        <f t="shared" si="3"/>
        <v>7.0550487850535526E-2</v>
      </c>
      <c r="F45" s="463">
        <f>'CBS (CoE)'!P48</f>
        <v>0.91817531932147656</v>
      </c>
      <c r="G45" s="482">
        <f t="shared" si="4"/>
        <v>7.4934212308574291E-2</v>
      </c>
    </row>
    <row r="46" spans="1:7" s="504" customFormat="1" ht="15" x14ac:dyDescent="0.25">
      <c r="A46" s="464" t="s">
        <v>493</v>
      </c>
      <c r="B46" s="466">
        <f>'CBS (CoE)'!L55</f>
        <v>0</v>
      </c>
      <c r="C46" s="482">
        <f t="shared" si="2"/>
        <v>0</v>
      </c>
      <c r="D46" s="466">
        <f>'CBS (CoE)'!N55</f>
        <v>0</v>
      </c>
      <c r="E46" s="482">
        <f t="shared" si="3"/>
        <v>0</v>
      </c>
      <c r="F46" s="463">
        <f>'CBS (CoE)'!P55</f>
        <v>0</v>
      </c>
      <c r="G46" s="482">
        <f t="shared" si="4"/>
        <v>0</v>
      </c>
    </row>
    <row r="47" spans="1:7" s="504" customFormat="1" ht="15" x14ac:dyDescent="0.25">
      <c r="A47" s="464" t="s">
        <v>470</v>
      </c>
      <c r="B47" s="466">
        <f>'CBS (CoE)'!L56</f>
        <v>1.5629328983024602</v>
      </c>
      <c r="C47" s="482">
        <f t="shared" si="2"/>
        <v>8.5457356201045234E-2</v>
      </c>
      <c r="D47" s="466">
        <f>'CBS (CoE)'!N56</f>
        <v>1.1778007929179235</v>
      </c>
      <c r="E47" s="482">
        <f t="shared" si="3"/>
        <v>8.8051098899495903E-2</v>
      </c>
      <c r="F47" s="463">
        <f>'CBS (CoE)'!P56</f>
        <v>1.0920007027687486</v>
      </c>
      <c r="G47" s="482">
        <f t="shared" si="4"/>
        <v>8.9120466190330691E-2</v>
      </c>
    </row>
    <row r="48" spans="1:7" s="504" customFormat="1" ht="15" x14ac:dyDescent="0.25">
      <c r="A48" s="464" t="s">
        <v>86</v>
      </c>
      <c r="B48" s="466">
        <f>SUM(B39:B47)</f>
        <v>18.289038741445921</v>
      </c>
      <c r="C48" s="462"/>
      <c r="D48" s="466">
        <f>SUM(D39:D47)</f>
        <v>13.376332693613509</v>
      </c>
      <c r="E48" s="462"/>
      <c r="F48" s="466">
        <f>SUM(F39:F47)</f>
        <v>12.253085620497208</v>
      </c>
      <c r="G48" s="462"/>
    </row>
    <row r="49" spans="1:5" s="504" customFormat="1" ht="15" x14ac:dyDescent="0.25">
      <c r="A49" s="440"/>
      <c r="B49" s="512"/>
      <c r="C49" s="512"/>
      <c r="D49" s="512"/>
      <c r="E49" s="512"/>
    </row>
    <row r="50" spans="1:5" ht="15" x14ac:dyDescent="0.25">
      <c r="A50" t="s">
        <v>691</v>
      </c>
      <c r="B50">
        <v>2</v>
      </c>
      <c r="C50" t="s">
        <v>692</v>
      </c>
    </row>
    <row r="51" spans="1:5" ht="15" x14ac:dyDescent="0.25">
      <c r="A51" t="s">
        <v>690</v>
      </c>
      <c r="B51">
        <v>1000</v>
      </c>
    </row>
    <row r="52" spans="1:5" ht="15" x14ac:dyDescent="0.25">
      <c r="A52" s="488" t="str">
        <f>IF(B51=1,"Annual Cost ($)",IF(B51=1000,"Annual Cost in Thousands ($)",IF(B51=1000000,"Annual Cost in Millions ($)","CostBasisnotspecified")))</f>
        <v>Annual Cost in Thousands ($)</v>
      </c>
    </row>
    <row r="53" spans="1:5" x14ac:dyDescent="0.3">
      <c r="A53" s="542"/>
      <c r="B53" s="474" t="s">
        <v>214</v>
      </c>
      <c r="C53" s="473" t="s">
        <v>175</v>
      </c>
      <c r="D53" s="472" t="s">
        <v>176</v>
      </c>
      <c r="E53" s="474" t="s">
        <v>177</v>
      </c>
    </row>
    <row r="54" spans="1:5" x14ac:dyDescent="0.3">
      <c r="A54" s="543"/>
      <c r="B54" s="474" t="s">
        <v>698</v>
      </c>
      <c r="C54" s="474" t="s">
        <v>698</v>
      </c>
      <c r="D54" s="474" t="s">
        <v>698</v>
      </c>
      <c r="E54" s="474" t="s">
        <v>698</v>
      </c>
    </row>
    <row r="55" spans="1:5" ht="15" x14ac:dyDescent="0.25">
      <c r="A55" s="470" t="s">
        <v>54</v>
      </c>
      <c r="B55" s="471">
        <f>ROUND('CBS (Total)'!J59/B51,-B50)</f>
        <v>1700</v>
      </c>
      <c r="C55" s="471">
        <f>ROUND('CBS (Total)'!L59/B51,-B50)</f>
        <v>6300</v>
      </c>
      <c r="D55" s="471">
        <f>ROUND('CBS (Total)'!N59/B51,-B50)</f>
        <v>12000</v>
      </c>
      <c r="E55" s="471">
        <f>ROUND('CBS (Total)'!P59/B51,-B50)</f>
        <v>11100</v>
      </c>
    </row>
    <row r="56" spans="1:5" ht="15" x14ac:dyDescent="0.25">
      <c r="A56" s="470" t="s">
        <v>697</v>
      </c>
      <c r="B56" s="471">
        <f>ROUND('CBS (Total)'!J60/B51,-B50)</f>
        <v>1500</v>
      </c>
      <c r="C56" s="471">
        <f>ROUND('CBS (Total)'!L60/B51,-B50)</f>
        <v>2000</v>
      </c>
      <c r="D56" s="471">
        <f>ROUND('CBS (Total)'!N60/B51,-B50)</f>
        <v>2000</v>
      </c>
      <c r="E56" s="471">
        <f>ROUND('CBS (Total)'!P60/B51,-B50)</f>
        <v>2000</v>
      </c>
    </row>
    <row r="57" spans="1:5" ht="15" x14ac:dyDescent="0.25">
      <c r="A57" s="470" t="s">
        <v>56</v>
      </c>
      <c r="B57" s="471">
        <f>ROUND('CBS (Total)'!J61/B51,-B50)</f>
        <v>100</v>
      </c>
      <c r="C57" s="471">
        <f>ROUND('CBS (Total)'!L61/B51,-B50)</f>
        <v>1100</v>
      </c>
      <c r="D57" s="471">
        <f>ROUND('CBS (Total)'!N61/B51,-B50)</f>
        <v>5700</v>
      </c>
      <c r="E57" s="471">
        <f>ROUND('CBS (Total)'!P61/B51,-B50)</f>
        <v>11500</v>
      </c>
    </row>
    <row r="58" spans="1:5" ht="15" x14ac:dyDescent="0.25">
      <c r="A58" s="470" t="s">
        <v>57</v>
      </c>
      <c r="B58" s="471">
        <f>ROUND('CBS (Total)'!J62/B51,-B50)</f>
        <v>300</v>
      </c>
      <c r="C58" s="471">
        <f>ROUND('CBS (Total)'!L62/B51,-B50)</f>
        <v>400</v>
      </c>
      <c r="D58" s="471">
        <f>ROUND('CBS (Total)'!N62/B51,-B50)</f>
        <v>1000</v>
      </c>
      <c r="E58" s="471">
        <f>ROUND('CBS (Total)'!P62/B51,-B50)</f>
        <v>1800</v>
      </c>
    </row>
    <row r="59" spans="1:5" ht="15" x14ac:dyDescent="0.25">
      <c r="A59" s="470" t="s">
        <v>58</v>
      </c>
      <c r="B59" s="471">
        <f>ROUND('CBS (Total)'!J63/B51,-B50)</f>
        <v>700</v>
      </c>
      <c r="C59" s="471">
        <f>ROUND('CBS (Total)'!L63/B51,-B50)</f>
        <v>4600</v>
      </c>
      <c r="D59" s="471">
        <f>ROUND('CBS (Total)'!N63/B51,-B50)</f>
        <v>20600</v>
      </c>
      <c r="E59" s="471">
        <f>ROUND('CBS (Total)'!P63/B51,-B50)</f>
        <v>40000</v>
      </c>
    </row>
    <row r="60" spans="1:5" x14ac:dyDescent="0.3">
      <c r="A60" s="470" t="s">
        <v>59</v>
      </c>
      <c r="B60" s="471">
        <f>ROUND('CBS (Total)'!J64/B51,-B50)</f>
        <v>0</v>
      </c>
      <c r="C60" s="471">
        <f>ROUND('CBS (Total)'!L64/B51,-B50)</f>
        <v>200</v>
      </c>
      <c r="D60" s="471">
        <f>ROUND('CBS (Total)'!N64/B51,-B50)</f>
        <v>900</v>
      </c>
      <c r="E60" s="471">
        <f>ROUND('CBS (Total)'!P64/B51,-B50)</f>
        <v>1700</v>
      </c>
    </row>
    <row r="61" spans="1:5" x14ac:dyDescent="0.3">
      <c r="A61" s="470" t="s">
        <v>86</v>
      </c>
      <c r="B61" s="471">
        <f>SUM(B55:B60)</f>
        <v>4300</v>
      </c>
      <c r="C61" s="471">
        <f t="shared" ref="C61:E61" si="5">SUM(C55:C60)</f>
        <v>14600</v>
      </c>
      <c r="D61" s="471">
        <f t="shared" si="5"/>
        <v>42200</v>
      </c>
      <c r="E61" s="471">
        <f t="shared" si="5"/>
        <v>68100</v>
      </c>
    </row>
    <row r="63" spans="1:5" x14ac:dyDescent="0.3">
      <c r="A63" t="s">
        <v>691</v>
      </c>
      <c r="B63">
        <v>1</v>
      </c>
      <c r="C63" t="s">
        <v>692</v>
      </c>
    </row>
    <row r="65" spans="1:7" x14ac:dyDescent="0.3">
      <c r="A65" t="s">
        <v>701</v>
      </c>
    </row>
    <row r="66" spans="1:7" x14ac:dyDescent="0.3">
      <c r="A66" s="542"/>
      <c r="B66" s="479" t="s">
        <v>214</v>
      </c>
      <c r="C66" s="478" t="s">
        <v>175</v>
      </c>
      <c r="D66" s="477" t="s">
        <v>176</v>
      </c>
      <c r="E66" s="479" t="s">
        <v>177</v>
      </c>
    </row>
    <row r="67" spans="1:7" x14ac:dyDescent="0.3">
      <c r="A67" s="543"/>
      <c r="B67" s="479" t="s">
        <v>696</v>
      </c>
      <c r="C67" s="479" t="s">
        <v>696</v>
      </c>
      <c r="D67" s="479" t="s">
        <v>696</v>
      </c>
      <c r="E67" s="479" t="s">
        <v>696</v>
      </c>
    </row>
    <row r="68" spans="1:7" x14ac:dyDescent="0.3">
      <c r="A68" s="475" t="s">
        <v>54</v>
      </c>
      <c r="B68" s="476">
        <f>ROUND('CBS ($ per kW)'!J61,-B63)</f>
        <v>420</v>
      </c>
      <c r="C68" s="476">
        <f>ROUND('CBS ($ per kW)'!L61,-B63)</f>
        <v>160</v>
      </c>
      <c r="D68" s="476">
        <f>ROUND('CBS ($ per kW)'!N61,-B63)</f>
        <v>60</v>
      </c>
      <c r="E68" s="476">
        <f>ROUND('CBS ($ per kW)'!P61,-B63)</f>
        <v>30</v>
      </c>
    </row>
    <row r="69" spans="1:7" x14ac:dyDescent="0.3">
      <c r="A69" s="475" t="s">
        <v>697</v>
      </c>
      <c r="B69" s="476">
        <f>ROUND('CBS ($ per kW)'!J62,-B63)</f>
        <v>370</v>
      </c>
      <c r="C69" s="476">
        <f>ROUND('CBS ($ per kW)'!L62,-B63)</f>
        <v>50</v>
      </c>
      <c r="D69" s="476">
        <f>ROUND('CBS ($ per kW)'!N62,-B63)</f>
        <v>10</v>
      </c>
      <c r="E69" s="476">
        <f>ROUND('CBS ($ per kW)'!P62,-B63)</f>
        <v>10</v>
      </c>
    </row>
    <row r="70" spans="1:7" x14ac:dyDescent="0.3">
      <c r="A70" s="475" t="s">
        <v>56</v>
      </c>
      <c r="B70" s="476">
        <f>ROUND('CBS ($ per kW)'!J63,-B63)</f>
        <v>30</v>
      </c>
      <c r="C70" s="476">
        <f>ROUND('CBS ($ per kW)'!L63,-B63)</f>
        <v>30</v>
      </c>
      <c r="D70" s="476">
        <f>ROUND('CBS ($ per kW)'!N63,-B63)</f>
        <v>30</v>
      </c>
      <c r="E70" s="476">
        <f>ROUND('CBS ($ per kW)'!P63,-B63)</f>
        <v>30</v>
      </c>
    </row>
    <row r="71" spans="1:7" x14ac:dyDescent="0.3">
      <c r="A71" s="475" t="s">
        <v>57</v>
      </c>
      <c r="B71" s="476">
        <f>ROUND('CBS ($ per kW)'!J64,-B63)</f>
        <v>80</v>
      </c>
      <c r="C71" s="476">
        <f>ROUND('CBS ($ per kW)'!L64,-B63)</f>
        <v>10</v>
      </c>
      <c r="D71" s="476">
        <f>ROUND('CBS ($ per kW)'!N64,-B63)</f>
        <v>10</v>
      </c>
      <c r="E71" s="476">
        <f>ROUND('CBS ($ per kW)'!P64,-B63)</f>
        <v>0</v>
      </c>
    </row>
    <row r="72" spans="1:7" x14ac:dyDescent="0.3">
      <c r="A72" s="475" t="s">
        <v>58</v>
      </c>
      <c r="B72" s="476">
        <f>ROUND('CBS ($ per kW)'!J65,-B63)</f>
        <v>180</v>
      </c>
      <c r="C72" s="476">
        <f>ROUND('CBS ($ per kW)'!L65,-B63)</f>
        <v>110</v>
      </c>
      <c r="D72" s="476">
        <f>ROUND('CBS ($ per kW)'!N65,-B63)</f>
        <v>100</v>
      </c>
      <c r="E72" s="476">
        <f>ROUND('CBS ($ per kW)'!P65,-B63)</f>
        <v>100</v>
      </c>
    </row>
    <row r="73" spans="1:7" x14ac:dyDescent="0.3">
      <c r="A73" s="475" t="s">
        <v>59</v>
      </c>
      <c r="B73" s="476">
        <f>ROUND('CBS ($ per kW)'!J66,-B63)</f>
        <v>0</v>
      </c>
      <c r="C73" s="476">
        <f>ROUND('CBS ($ per kW)'!L66,-B63)</f>
        <v>0</v>
      </c>
      <c r="D73" s="476">
        <f>ROUND('CBS ($ per kW)'!N66,-B63)</f>
        <v>0</v>
      </c>
      <c r="E73" s="476">
        <f>ROUND('CBS ($ per kW)'!P66,-B63)</f>
        <v>0</v>
      </c>
    </row>
    <row r="74" spans="1:7" x14ac:dyDescent="0.3">
      <c r="A74" s="475" t="s">
        <v>86</v>
      </c>
      <c r="B74" s="476">
        <f>SUM(B68:B73)</f>
        <v>1080</v>
      </c>
      <c r="C74" s="476">
        <f t="shared" ref="C74:E74" si="6">SUM(C68:C73)</f>
        <v>360</v>
      </c>
      <c r="D74" s="476">
        <f t="shared" si="6"/>
        <v>210</v>
      </c>
      <c r="E74" s="476">
        <f t="shared" si="6"/>
        <v>170</v>
      </c>
    </row>
    <row r="76" spans="1:7" x14ac:dyDescent="0.3">
      <c r="A76" s="489"/>
    </row>
    <row r="79" spans="1:7" x14ac:dyDescent="0.3">
      <c r="A79" t="s">
        <v>701</v>
      </c>
    </row>
    <row r="80" spans="1:7" x14ac:dyDescent="0.3">
      <c r="A80" s="540"/>
      <c r="B80" s="538" t="s">
        <v>175</v>
      </c>
      <c r="C80" s="539"/>
      <c r="D80" s="538" t="s">
        <v>176</v>
      </c>
      <c r="E80" s="539"/>
      <c r="F80" s="538" t="s">
        <v>177</v>
      </c>
      <c r="G80" s="539"/>
    </row>
    <row r="81" spans="1:7" x14ac:dyDescent="0.3">
      <c r="A81" s="541"/>
      <c r="B81" s="487" t="s">
        <v>694</v>
      </c>
      <c r="C81" s="487" t="s">
        <v>695</v>
      </c>
      <c r="D81" s="487" t="s">
        <v>694</v>
      </c>
      <c r="E81" s="487" t="s">
        <v>695</v>
      </c>
      <c r="F81" s="487" t="s">
        <v>694</v>
      </c>
      <c r="G81" s="487" t="s">
        <v>695</v>
      </c>
    </row>
    <row r="82" spans="1:7" x14ac:dyDescent="0.3">
      <c r="A82" s="483" t="s">
        <v>54</v>
      </c>
      <c r="B82" s="484">
        <f>'CBS (CoE)'!L61</f>
        <v>2.7766509392134653</v>
      </c>
      <c r="C82" s="482">
        <f t="shared" ref="C82:C87" si="7">B82/B$88</f>
        <v>0.43474010940366259</v>
      </c>
      <c r="D82" s="484">
        <f>'CBS (CoE)'!N61</f>
        <v>1.0462194766691248</v>
      </c>
      <c r="E82" s="482">
        <f t="shared" ref="E82:E87" si="8">D82/D$88</f>
        <v>0.28337841309178968</v>
      </c>
      <c r="F82" s="484">
        <f>'CBS (CoE)'!P61</f>
        <v>0.48500239201853351</v>
      </c>
      <c r="G82" s="482">
        <f t="shared" ref="G82:G87" si="9">F82/F$88</f>
        <v>0.1627141239092024</v>
      </c>
    </row>
    <row r="83" spans="1:7" x14ac:dyDescent="0.3">
      <c r="A83" s="483" t="s">
        <v>697</v>
      </c>
      <c r="B83" s="484">
        <f>'CBS (CoE)'!L62</f>
        <v>0.86301276030537166</v>
      </c>
      <c r="C83" s="482">
        <f t="shared" si="7"/>
        <v>0.1351218680509377</v>
      </c>
      <c r="D83" s="484">
        <f>'CBS (CoE)'!N62</f>
        <v>0.17813608717074181</v>
      </c>
      <c r="E83" s="482">
        <f t="shared" si="8"/>
        <v>4.8249839371696385E-2</v>
      </c>
      <c r="F83" s="484">
        <f>'CBS (CoE)'!P62</f>
        <v>8.9068043585370904E-2</v>
      </c>
      <c r="G83" s="482">
        <f t="shared" si="9"/>
        <v>2.9881561243406136E-2</v>
      </c>
    </row>
    <row r="84" spans="1:7" x14ac:dyDescent="0.3">
      <c r="A84" s="483" t="s">
        <v>56</v>
      </c>
      <c r="B84" s="484">
        <f>'CBS (CoE)'!L63</f>
        <v>0.50302852438755319</v>
      </c>
      <c r="C84" s="482">
        <f t="shared" si="7"/>
        <v>7.8759152847406394E-2</v>
      </c>
      <c r="D84" s="484">
        <f>'CBS (CoE)'!N63</f>
        <v>0.50302852438755319</v>
      </c>
      <c r="E84" s="482">
        <f t="shared" si="8"/>
        <v>0.13625002034437483</v>
      </c>
      <c r="F84" s="484">
        <f>'CBS (CoE)'!P63</f>
        <v>0.50302852438755319</v>
      </c>
      <c r="G84" s="482">
        <f t="shared" si="9"/>
        <v>0.16876173601208097</v>
      </c>
    </row>
    <row r="85" spans="1:7" x14ac:dyDescent="0.3">
      <c r="A85" s="483" t="s">
        <v>57</v>
      </c>
      <c r="B85" s="484">
        <f>'CBS (CoE)'!L64</f>
        <v>0.16324216404831463</v>
      </c>
      <c r="C85" s="482">
        <f t="shared" si="7"/>
        <v>2.555881809103374E-2</v>
      </c>
      <c r="D85" s="484">
        <f>'CBS (CoE)'!N64</f>
        <v>8.779468048380959E-2</v>
      </c>
      <c r="E85" s="482">
        <f t="shared" si="8"/>
        <v>2.3780017279558731E-2</v>
      </c>
      <c r="F85" s="484">
        <f>'CBS (CoE)'!P64</f>
        <v>7.7588752996116478E-2</v>
      </c>
      <c r="G85" s="482">
        <f t="shared" si="9"/>
        <v>2.6030358152312288E-2</v>
      </c>
    </row>
    <row r="86" spans="1:7" x14ac:dyDescent="0.3">
      <c r="A86" s="483" t="s">
        <v>58</v>
      </c>
      <c r="B86" s="484">
        <f>'CBS (CoE)'!L65</f>
        <v>2.0044641690342075</v>
      </c>
      <c r="C86" s="482">
        <f t="shared" si="7"/>
        <v>0.31383886243493692</v>
      </c>
      <c r="D86" s="484">
        <f>'CBS (CoE)'!N65</f>
        <v>1.8002502382133159</v>
      </c>
      <c r="E86" s="482">
        <f t="shared" si="8"/>
        <v>0.48761475679767469</v>
      </c>
      <c r="F86" s="484">
        <f>'CBS (CoE)'!P65</f>
        <v>1.7494918486506985</v>
      </c>
      <c r="G86" s="482">
        <f t="shared" si="9"/>
        <v>0.58693944220508354</v>
      </c>
    </row>
    <row r="87" spans="1:7" x14ac:dyDescent="0.3">
      <c r="A87" s="483" t="s">
        <v>59</v>
      </c>
      <c r="B87" s="484">
        <f>'CBS (CoE)'!L66</f>
        <v>7.652291437526712E-2</v>
      </c>
      <c r="C87" s="482">
        <f t="shared" si="7"/>
        <v>1.1981189172022594E-2</v>
      </c>
      <c r="D87" s="484">
        <f>'CBS (CoE)'!N66</f>
        <v>7.6522914375267134E-2</v>
      </c>
      <c r="E87" s="482">
        <f t="shared" si="8"/>
        <v>2.0726953114905675E-2</v>
      </c>
      <c r="F87" s="484">
        <f>'CBS (CoE)'!P66</f>
        <v>7.6522914375267134E-2</v>
      </c>
      <c r="G87" s="482">
        <f t="shared" si="9"/>
        <v>2.5672778477914587E-2</v>
      </c>
    </row>
    <row r="88" spans="1:7" x14ac:dyDescent="0.3">
      <c r="A88" s="483" t="s">
        <v>86</v>
      </c>
      <c r="B88" s="484">
        <f>SUM(B82:B87)</f>
        <v>6.3869214713641798</v>
      </c>
      <c r="C88" s="481"/>
      <c r="D88" s="484">
        <f>SUM(D82:D87)</f>
        <v>3.6919519212998124</v>
      </c>
      <c r="E88" s="485"/>
      <c r="F88" s="484">
        <f>SUM(F82:F87)</f>
        <v>2.9807024760135401</v>
      </c>
      <c r="G88" s="486"/>
    </row>
    <row r="92" spans="1:7" x14ac:dyDescent="0.3">
      <c r="A92" t="s">
        <v>702</v>
      </c>
    </row>
    <row r="93" spans="1:7" x14ac:dyDescent="0.3">
      <c r="A93" s="515"/>
      <c r="B93" s="538" t="s">
        <v>175</v>
      </c>
      <c r="C93" s="539"/>
      <c r="D93" s="538" t="s">
        <v>176</v>
      </c>
      <c r="E93" s="539"/>
      <c r="F93" s="538" t="s">
        <v>177</v>
      </c>
      <c r="G93" s="539"/>
    </row>
    <row r="94" spans="1:7" x14ac:dyDescent="0.3">
      <c r="A94" s="496"/>
      <c r="B94" s="497" t="s">
        <v>694</v>
      </c>
      <c r="C94" s="497" t="s">
        <v>695</v>
      </c>
      <c r="D94" s="497" t="s">
        <v>694</v>
      </c>
      <c r="E94" s="497" t="s">
        <v>695</v>
      </c>
      <c r="F94" s="497" t="s">
        <v>694</v>
      </c>
      <c r="G94" s="497" t="s">
        <v>695</v>
      </c>
    </row>
    <row r="95" spans="1:7" x14ac:dyDescent="0.3">
      <c r="A95" s="492" t="s">
        <v>699</v>
      </c>
      <c r="B95" s="493">
        <f>B41+B42+B43+B44</f>
        <v>12.22401504556499</v>
      </c>
      <c r="C95" s="491">
        <f t="shared" ref="C95:C100" si="10">B95/B$101</f>
        <v>0.49538153490858289</v>
      </c>
      <c r="D95" s="493">
        <f>D41+D42+D43+D44</f>
        <v>10.097131105713039</v>
      </c>
      <c r="E95" s="491">
        <f t="shared" ref="E95:E100" si="11">D95/D$101</f>
        <v>0.59157269365491638</v>
      </c>
      <c r="F95" s="493">
        <f>F41+F42+F43+F44</f>
        <v>9.4123963569517421</v>
      </c>
      <c r="G95" s="491">
        <f t="shared" ref="G95:G100" si="12">F95/F$101</f>
        <v>0.61786315375540912</v>
      </c>
    </row>
    <row r="96" spans="1:7" x14ac:dyDescent="0.3">
      <c r="A96" s="492" t="s">
        <v>10</v>
      </c>
      <c r="B96" s="493">
        <f>B40</f>
        <v>1.7789889455619612</v>
      </c>
      <c r="C96" s="491">
        <f t="shared" si="10"/>
        <v>7.2094010940997932E-2</v>
      </c>
      <c r="D96" s="493">
        <f>D40</f>
        <v>0.73717002628069495</v>
      </c>
      <c r="E96" s="491">
        <f t="shared" si="11"/>
        <v>4.3189461794924409E-2</v>
      </c>
      <c r="F96" s="493">
        <f>F40</f>
        <v>0.58943535141426773</v>
      </c>
      <c r="G96" s="491">
        <f t="shared" si="12"/>
        <v>3.8692631647493904E-2</v>
      </c>
    </row>
    <row r="97" spans="1:7" x14ac:dyDescent="0.3">
      <c r="A97" s="492" t="s">
        <v>240</v>
      </c>
      <c r="B97" s="493">
        <f>B39</f>
        <v>1.0967768601188645</v>
      </c>
      <c r="C97" s="491">
        <f t="shared" si="10"/>
        <v>4.4447180602499581E-2</v>
      </c>
      <c r="D97" s="493">
        <f>D39</f>
        <v>0.42052397151635146</v>
      </c>
      <c r="E97" s="491">
        <f t="shared" si="11"/>
        <v>2.4637740757435047E-2</v>
      </c>
      <c r="F97" s="493">
        <f>F39</f>
        <v>0.24107789004097216</v>
      </c>
      <c r="G97" s="491">
        <f t="shared" si="12"/>
        <v>1.5825209627025751E-2</v>
      </c>
    </row>
    <row r="98" spans="1:7" x14ac:dyDescent="0.3">
      <c r="A98" s="492" t="s">
        <v>49</v>
      </c>
      <c r="B98" s="493">
        <f>B45</f>
        <v>1.6263249918976466</v>
      </c>
      <c r="C98" s="491">
        <f t="shared" si="10"/>
        <v>6.5907262690971913E-2</v>
      </c>
      <c r="D98" s="493">
        <f>D45</f>
        <v>0.94370679718550099</v>
      </c>
      <c r="E98" s="491">
        <f t="shared" si="11"/>
        <v>5.5290078556631421E-2</v>
      </c>
      <c r="F98" s="493">
        <f>F45</f>
        <v>0.91817531932147656</v>
      </c>
      <c r="G98" s="491">
        <f t="shared" si="12"/>
        <v>6.0272291665379125E-2</v>
      </c>
    </row>
    <row r="99" spans="1:7" x14ac:dyDescent="0.3">
      <c r="A99" s="492" t="s">
        <v>470</v>
      </c>
      <c r="B99" s="493">
        <f>B47</f>
        <v>1.5629328983024602</v>
      </c>
      <c r="C99" s="491">
        <f t="shared" si="10"/>
        <v>6.3338280854055296E-2</v>
      </c>
      <c r="D99" s="493">
        <f>D47</f>
        <v>1.1778007929179235</v>
      </c>
      <c r="E99" s="491">
        <f t="shared" si="11"/>
        <v>6.9005223400647214E-2</v>
      </c>
      <c r="F99" s="493">
        <f>F47</f>
        <v>1.0920007027687486</v>
      </c>
      <c r="G99" s="491">
        <f t="shared" si="12"/>
        <v>7.1682807706828222E-2</v>
      </c>
    </row>
    <row r="100" spans="1:7" x14ac:dyDescent="0.3">
      <c r="A100" s="492" t="s">
        <v>700</v>
      </c>
      <c r="B100" s="493">
        <f>B88</f>
        <v>6.3869214713641798</v>
      </c>
      <c r="C100" s="491">
        <f t="shared" si="10"/>
        <v>0.25883173000289245</v>
      </c>
      <c r="D100" s="493">
        <f>D88</f>
        <v>3.6919519212998124</v>
      </c>
      <c r="E100" s="491">
        <f t="shared" si="11"/>
        <v>0.2163048018354457</v>
      </c>
      <c r="F100" s="493">
        <f>F88</f>
        <v>2.9807024760135401</v>
      </c>
      <c r="G100" s="491">
        <f t="shared" si="12"/>
        <v>0.19566390559786379</v>
      </c>
    </row>
    <row r="101" spans="1:7" x14ac:dyDescent="0.3">
      <c r="A101" s="492" t="s">
        <v>86</v>
      </c>
      <c r="B101" s="493">
        <f>SUM(B95:B100)</f>
        <v>24.6759602128101</v>
      </c>
      <c r="C101" s="490"/>
      <c r="D101" s="493">
        <f>SUM(D95:D100)</f>
        <v>17.06828461491332</v>
      </c>
      <c r="E101" s="494"/>
      <c r="F101" s="493">
        <f>SUM(F95:F100)</f>
        <v>15.233788096510748</v>
      </c>
      <c r="G101" s="495"/>
    </row>
    <row r="104" spans="1:7" ht="15" customHeight="1" x14ac:dyDescent="0.3">
      <c r="C104" s="505"/>
    </row>
    <row r="105" spans="1:7" ht="14.25" customHeight="1" x14ac:dyDescent="0.3">
      <c r="A105" s="521"/>
      <c r="B105" s="533" t="s">
        <v>741</v>
      </c>
      <c r="C105" s="497" t="s">
        <v>214</v>
      </c>
      <c r="D105" s="497" t="s">
        <v>175</v>
      </c>
      <c r="E105" s="497" t="s">
        <v>176</v>
      </c>
      <c r="F105" s="497" t="s">
        <v>177</v>
      </c>
    </row>
    <row r="106" spans="1:7" x14ac:dyDescent="0.3">
      <c r="A106" s="492" t="s">
        <v>385</v>
      </c>
      <c r="B106" s="492"/>
      <c r="C106" s="493">
        <v>5</v>
      </c>
      <c r="D106" s="493">
        <v>5</v>
      </c>
      <c r="E106" s="493">
        <v>5</v>
      </c>
      <c r="F106" s="493">
        <v>5</v>
      </c>
    </row>
    <row r="107" spans="1:7" x14ac:dyDescent="0.3">
      <c r="A107" s="492" t="s">
        <v>386</v>
      </c>
      <c r="B107" s="492"/>
      <c r="C107" s="493">
        <v>4</v>
      </c>
      <c r="D107" s="493">
        <v>4</v>
      </c>
      <c r="E107" s="493">
        <v>4</v>
      </c>
      <c r="F107" s="493">
        <v>4</v>
      </c>
    </row>
    <row r="108" spans="1:7" x14ac:dyDescent="0.3">
      <c r="A108" s="492" t="s">
        <v>387</v>
      </c>
      <c r="B108" s="493">
        <v>2</v>
      </c>
      <c r="C108" s="493">
        <v>2</v>
      </c>
      <c r="D108" s="493">
        <v>20</v>
      </c>
      <c r="E108" s="493">
        <v>100</v>
      </c>
      <c r="F108" s="493">
        <v>200</v>
      </c>
    </row>
    <row r="109" spans="1:7" x14ac:dyDescent="0.3">
      <c r="A109" s="492" t="s">
        <v>388</v>
      </c>
      <c r="B109" s="493">
        <v>0.25</v>
      </c>
      <c r="C109" s="493">
        <v>0.25</v>
      </c>
      <c r="D109" s="493">
        <v>2.5</v>
      </c>
      <c r="E109" s="493">
        <v>12.5</v>
      </c>
      <c r="F109" s="493">
        <v>25</v>
      </c>
    </row>
    <row r="110" spans="1:7" x14ac:dyDescent="0.3">
      <c r="A110" s="492" t="s">
        <v>445</v>
      </c>
      <c r="B110" s="493">
        <v>1</v>
      </c>
      <c r="C110" s="493">
        <v>1</v>
      </c>
      <c r="D110" s="493">
        <v>10</v>
      </c>
      <c r="E110" s="493">
        <v>50</v>
      </c>
      <c r="F110" s="493">
        <v>100</v>
      </c>
    </row>
    <row r="111" spans="1:7" x14ac:dyDescent="0.3">
      <c r="A111" s="492" t="s">
        <v>446</v>
      </c>
      <c r="B111" s="493">
        <v>0.3</v>
      </c>
      <c r="C111" s="493">
        <v>0.3</v>
      </c>
      <c r="D111" s="493">
        <v>3</v>
      </c>
      <c r="E111" s="493">
        <v>15</v>
      </c>
      <c r="F111" s="493">
        <v>30</v>
      </c>
    </row>
    <row r="112" spans="1:7" x14ac:dyDescent="0.3">
      <c r="A112" s="492" t="s">
        <v>447</v>
      </c>
      <c r="B112" s="493">
        <v>0.41666666666666669</v>
      </c>
      <c r="C112" s="493">
        <v>0.41666666666666669</v>
      </c>
      <c r="D112" s="493">
        <v>4.166666666666667</v>
      </c>
      <c r="E112" s="493">
        <v>20.833333333333336</v>
      </c>
      <c r="F112" s="493">
        <v>41.666666666666671</v>
      </c>
    </row>
    <row r="113" spans="1:6" x14ac:dyDescent="0.3">
      <c r="A113" s="492" t="s">
        <v>448</v>
      </c>
      <c r="B113" s="493">
        <v>0.5</v>
      </c>
      <c r="C113" s="493">
        <v>0.5</v>
      </c>
      <c r="D113" s="493">
        <v>5</v>
      </c>
      <c r="E113" s="493">
        <v>25</v>
      </c>
      <c r="F113" s="493">
        <v>50</v>
      </c>
    </row>
    <row r="114" spans="1:6" x14ac:dyDescent="0.3">
      <c r="A114" s="492" t="s">
        <v>451</v>
      </c>
      <c r="B114" s="493">
        <v>1</v>
      </c>
      <c r="C114" s="493">
        <v>1</v>
      </c>
      <c r="D114" s="493">
        <v>10</v>
      </c>
      <c r="E114" s="493">
        <v>50</v>
      </c>
      <c r="F114" s="493">
        <v>100</v>
      </c>
    </row>
    <row r="115" spans="1:6" x14ac:dyDescent="0.3">
      <c r="A115" s="492" t="s">
        <v>452</v>
      </c>
      <c r="B115" s="493">
        <v>0.25</v>
      </c>
      <c r="C115" s="493">
        <v>0.25</v>
      </c>
      <c r="D115" s="493">
        <v>2.5</v>
      </c>
      <c r="E115" s="493">
        <v>12.5</v>
      </c>
      <c r="F115" s="493">
        <v>25</v>
      </c>
    </row>
    <row r="116" spans="1:6" x14ac:dyDescent="0.3">
      <c r="A116" s="492" t="s">
        <v>453</v>
      </c>
      <c r="B116" s="492"/>
      <c r="C116" s="493">
        <v>3</v>
      </c>
      <c r="D116" s="493">
        <v>3</v>
      </c>
      <c r="E116" s="493">
        <v>3</v>
      </c>
      <c r="F116" s="493">
        <v>3</v>
      </c>
    </row>
    <row r="117" spans="1:6" x14ac:dyDescent="0.3">
      <c r="A117" s="492" t="s">
        <v>486</v>
      </c>
      <c r="B117" s="516">
        <v>0.15</v>
      </c>
      <c r="C117" s="493">
        <v>2.6575000000000002</v>
      </c>
      <c r="D117" s="493">
        <v>10.374999999999998</v>
      </c>
      <c r="E117" s="493">
        <v>44.675000000000004</v>
      </c>
      <c r="F117" s="493">
        <v>87.550000000000011</v>
      </c>
    </row>
    <row r="118" spans="1:6" x14ac:dyDescent="0.3">
      <c r="A118" s="492"/>
      <c r="B118" s="492"/>
      <c r="C118" s="492"/>
      <c r="D118" s="492"/>
      <c r="E118" s="492"/>
      <c r="F118" s="492"/>
    </row>
    <row r="119" spans="1:6" x14ac:dyDescent="0.3">
      <c r="A119" s="517" t="s">
        <v>487</v>
      </c>
      <c r="B119" s="517"/>
      <c r="C119" s="518">
        <v>20.374166666666667</v>
      </c>
      <c r="D119" s="518">
        <v>79.541666666666657</v>
      </c>
      <c r="E119" s="518">
        <v>342.50833333333338</v>
      </c>
      <c r="F119" s="518">
        <v>671.2166666666667</v>
      </c>
    </row>
    <row r="122" spans="1:6" x14ac:dyDescent="0.3">
      <c r="A122" s="519"/>
      <c r="B122" s="497" t="s">
        <v>742</v>
      </c>
    </row>
    <row r="123" spans="1:6" x14ac:dyDescent="0.3">
      <c r="A123" s="492" t="s">
        <v>142</v>
      </c>
      <c r="B123" s="476">
        <v>124225</v>
      </c>
    </row>
    <row r="124" spans="1:6" x14ac:dyDescent="0.3">
      <c r="A124" s="492" t="s">
        <v>143</v>
      </c>
      <c r="B124" s="476">
        <v>117000</v>
      </c>
    </row>
    <row r="125" spans="1:6" x14ac:dyDescent="0.3">
      <c r="A125" s="492" t="s">
        <v>391</v>
      </c>
      <c r="B125" s="476">
        <v>141550</v>
      </c>
    </row>
    <row r="126" spans="1:6" x14ac:dyDescent="0.3">
      <c r="A126" s="492" t="s">
        <v>743</v>
      </c>
      <c r="B126" s="476">
        <v>127605</v>
      </c>
      <c r="C126" s="91"/>
    </row>
    <row r="127" spans="1:6" x14ac:dyDescent="0.3">
      <c r="A127" s="492" t="s">
        <v>456</v>
      </c>
      <c r="B127" s="476">
        <v>242000</v>
      </c>
    </row>
    <row r="132" spans="1:5" x14ac:dyDescent="0.3">
      <c r="A132" s="520"/>
      <c r="B132" s="497" t="s">
        <v>489</v>
      </c>
      <c r="C132" s="497" t="s">
        <v>490</v>
      </c>
      <c r="D132" s="497" t="s">
        <v>491</v>
      </c>
      <c r="E132" s="497" t="s">
        <v>492</v>
      </c>
    </row>
    <row r="133" spans="1:5" x14ac:dyDescent="0.3">
      <c r="A133" s="492" t="s">
        <v>744</v>
      </c>
      <c r="B133" s="493">
        <v>6.9537037037037033</v>
      </c>
      <c r="C133" s="493">
        <v>6.9537037037037033</v>
      </c>
      <c r="D133" s="524">
        <v>6.9537037037037033</v>
      </c>
      <c r="E133" s="493">
        <v>6.9537037037037033</v>
      </c>
    </row>
    <row r="134" spans="1:5" x14ac:dyDescent="0.3">
      <c r="A134" s="492" t="s">
        <v>745</v>
      </c>
      <c r="B134" s="493">
        <v>0.22222222222222221</v>
      </c>
      <c r="C134" s="493">
        <v>0.22222222222222221</v>
      </c>
      <c r="D134" s="524">
        <v>0.22222222222222221</v>
      </c>
      <c r="E134" s="525">
        <v>0.22222222222222221</v>
      </c>
    </row>
    <row r="135" spans="1:5" x14ac:dyDescent="0.3">
      <c r="A135" s="492" t="s">
        <v>746</v>
      </c>
      <c r="B135" s="493">
        <v>8</v>
      </c>
      <c r="C135" s="493">
        <v>8</v>
      </c>
      <c r="D135" s="524">
        <v>8</v>
      </c>
      <c r="E135" s="525">
        <v>8</v>
      </c>
    </row>
    <row r="136" spans="1:5" x14ac:dyDescent="0.3">
      <c r="A136" s="492" t="s">
        <v>747</v>
      </c>
      <c r="B136" s="493">
        <v>1.7083333333333333</v>
      </c>
      <c r="C136" s="493">
        <v>3.25</v>
      </c>
      <c r="D136" s="524">
        <v>4.791666666666667</v>
      </c>
      <c r="E136" s="525">
        <v>6.333333333333333</v>
      </c>
    </row>
    <row r="137" spans="1:5" x14ac:dyDescent="0.3">
      <c r="A137" s="492" t="s">
        <v>748</v>
      </c>
      <c r="B137" s="493">
        <v>1</v>
      </c>
      <c r="C137" s="493">
        <v>2</v>
      </c>
      <c r="D137" s="524">
        <v>3</v>
      </c>
      <c r="E137" s="525">
        <v>4</v>
      </c>
    </row>
    <row r="138" spans="1:5" x14ac:dyDescent="0.3">
      <c r="A138" s="492" t="s">
        <v>749</v>
      </c>
      <c r="B138" s="493">
        <v>7.708333333333333</v>
      </c>
      <c r="C138" s="493">
        <v>15.416666666666666</v>
      </c>
      <c r="D138" s="524">
        <v>23.125</v>
      </c>
      <c r="E138" s="493">
        <v>30.833333333333332</v>
      </c>
    </row>
    <row r="139" spans="1:5" x14ac:dyDescent="0.3">
      <c r="A139" s="492" t="s">
        <v>750</v>
      </c>
      <c r="B139" s="493">
        <v>0.5</v>
      </c>
      <c r="C139" s="493">
        <v>1</v>
      </c>
      <c r="D139" s="524">
        <v>1.5</v>
      </c>
      <c r="E139" s="493">
        <v>2</v>
      </c>
    </row>
    <row r="140" spans="1:5" x14ac:dyDescent="0.3">
      <c r="A140" s="492" t="s">
        <v>751</v>
      </c>
      <c r="B140" s="493">
        <v>0.25</v>
      </c>
      <c r="C140" s="493">
        <v>0.5</v>
      </c>
      <c r="D140" s="524">
        <v>0.75</v>
      </c>
      <c r="E140" s="493">
        <v>1</v>
      </c>
    </row>
    <row r="141" spans="1:5" x14ac:dyDescent="0.3">
      <c r="A141" s="492" t="s">
        <v>754</v>
      </c>
      <c r="B141" s="493">
        <v>6</v>
      </c>
      <c r="C141" s="493">
        <v>6</v>
      </c>
      <c r="D141" s="524">
        <v>6</v>
      </c>
      <c r="E141" s="493">
        <v>6</v>
      </c>
    </row>
    <row r="142" spans="1:5" x14ac:dyDescent="0.3">
      <c r="A142" s="526" t="s">
        <v>755</v>
      </c>
      <c r="B142" s="493">
        <v>4.8513888888888888</v>
      </c>
      <c r="C142" s="493">
        <v>6.5013888888888882</v>
      </c>
      <c r="D142" s="493">
        <v>8.1513888888888886</v>
      </c>
      <c r="E142" s="466">
        <v>9.8013888888888889</v>
      </c>
    </row>
    <row r="143" spans="1:5" x14ac:dyDescent="0.3">
      <c r="A143" s="526" t="s">
        <v>753</v>
      </c>
      <c r="B143" s="493"/>
      <c r="C143" s="493"/>
      <c r="D143" s="493"/>
      <c r="E143" s="466"/>
    </row>
    <row r="144" spans="1:5" x14ac:dyDescent="0.3">
      <c r="A144" s="492" t="s">
        <v>752</v>
      </c>
      <c r="B144" s="492"/>
      <c r="C144" s="492"/>
      <c r="D144" s="492"/>
      <c r="E144" s="492"/>
    </row>
    <row r="145" spans="1:5" x14ac:dyDescent="0.3">
      <c r="A145" s="492"/>
      <c r="B145" s="492"/>
      <c r="C145" s="492"/>
      <c r="D145" s="492"/>
      <c r="E145" s="492"/>
    </row>
    <row r="146" spans="1:5" x14ac:dyDescent="0.3">
      <c r="A146" s="517" t="s">
        <v>86</v>
      </c>
      <c r="B146" s="532">
        <f>SUM(B133:B144)</f>
        <v>37.193981481481487</v>
      </c>
      <c r="C146" s="532">
        <f t="shared" ref="C146:E146" si="13">SUM(C133:C144)</f>
        <v>49.843981481481478</v>
      </c>
      <c r="D146" s="532">
        <f t="shared" si="13"/>
        <v>62.493981481481484</v>
      </c>
      <c r="E146" s="532">
        <f t="shared" si="13"/>
        <v>75.143981481481489</v>
      </c>
    </row>
    <row r="148" spans="1:5" x14ac:dyDescent="0.3">
      <c r="A148" s="520" t="s">
        <v>190</v>
      </c>
      <c r="B148" s="497" t="s">
        <v>756</v>
      </c>
    </row>
    <row r="149" spans="1:5" x14ac:dyDescent="0.3">
      <c r="A149" s="492" t="s">
        <v>192</v>
      </c>
      <c r="B149" s="527">
        <v>1</v>
      </c>
    </row>
    <row r="150" spans="1:5" x14ac:dyDescent="0.3">
      <c r="A150" s="492" t="s">
        <v>193</v>
      </c>
      <c r="B150" s="527">
        <v>1</v>
      </c>
    </row>
    <row r="151" spans="1:5" x14ac:dyDescent="0.3">
      <c r="A151" s="492" t="s">
        <v>194</v>
      </c>
      <c r="B151" s="527">
        <v>1</v>
      </c>
    </row>
    <row r="152" spans="1:5" x14ac:dyDescent="0.3">
      <c r="A152" s="492" t="s">
        <v>195</v>
      </c>
      <c r="B152" s="527">
        <v>1</v>
      </c>
    </row>
    <row r="153" spans="1:5" x14ac:dyDescent="0.3">
      <c r="A153" s="492" t="s">
        <v>196</v>
      </c>
      <c r="B153" s="527">
        <v>1</v>
      </c>
    </row>
    <row r="154" spans="1:5" x14ac:dyDescent="0.3">
      <c r="A154" s="492" t="s">
        <v>197</v>
      </c>
      <c r="B154" s="527">
        <v>1</v>
      </c>
    </row>
    <row r="155" spans="1:5" x14ac:dyDescent="0.3">
      <c r="A155" s="492" t="s">
        <v>198</v>
      </c>
      <c r="B155" s="527">
        <v>1</v>
      </c>
    </row>
    <row r="156" spans="1:5" x14ac:dyDescent="0.3">
      <c r="A156" s="492" t="s">
        <v>199</v>
      </c>
      <c r="B156" s="527">
        <v>2</v>
      </c>
    </row>
    <row r="157" spans="1:5" x14ac:dyDescent="0.3">
      <c r="A157" s="492"/>
      <c r="B157" s="528"/>
    </row>
    <row r="158" spans="1:5" x14ac:dyDescent="0.3">
      <c r="A158" s="517" t="s">
        <v>200</v>
      </c>
      <c r="B158" s="529">
        <f>SUM(B149:B157)</f>
        <v>9</v>
      </c>
    </row>
    <row r="159" spans="1:5" x14ac:dyDescent="0.3">
      <c r="A159" s="522"/>
      <c r="B159" s="523"/>
    </row>
    <row r="161" spans="1:2" x14ac:dyDescent="0.3">
      <c r="A161" s="520" t="s">
        <v>201</v>
      </c>
      <c r="B161" s="497" t="s">
        <v>757</v>
      </c>
    </row>
    <row r="162" spans="1:2" x14ac:dyDescent="0.3">
      <c r="A162" s="492" t="s">
        <v>202</v>
      </c>
      <c r="B162" s="530">
        <v>1</v>
      </c>
    </row>
    <row r="163" spans="1:2" x14ac:dyDescent="0.3">
      <c r="A163" s="492" t="s">
        <v>203</v>
      </c>
      <c r="B163" s="530">
        <v>1</v>
      </c>
    </row>
    <row r="164" spans="1:2" x14ac:dyDescent="0.3">
      <c r="A164" s="492" t="s">
        <v>204</v>
      </c>
      <c r="B164" s="530">
        <v>2</v>
      </c>
    </row>
    <row r="165" spans="1:2" x14ac:dyDescent="0.3">
      <c r="A165" s="492" t="s">
        <v>205</v>
      </c>
      <c r="B165" s="530">
        <v>1</v>
      </c>
    </row>
    <row r="166" spans="1:2" x14ac:dyDescent="0.3">
      <c r="A166" s="492" t="s">
        <v>206</v>
      </c>
      <c r="B166" s="530">
        <v>3</v>
      </c>
    </row>
    <row r="167" spans="1:2" x14ac:dyDescent="0.3">
      <c r="A167" s="492" t="s">
        <v>207</v>
      </c>
      <c r="B167" s="530">
        <v>3</v>
      </c>
    </row>
    <row r="168" spans="1:2" x14ac:dyDescent="0.3">
      <c r="A168" s="492"/>
      <c r="B168" s="492"/>
    </row>
    <row r="169" spans="1:2" x14ac:dyDescent="0.3">
      <c r="A169" s="517" t="s">
        <v>208</v>
      </c>
      <c r="B169" s="531">
        <f>1+B163+B164+B165+B166+B167+0</f>
        <v>11</v>
      </c>
    </row>
  </sheetData>
  <sortState ref="A44:A47">
    <sortCondition descending="1" ref="A47"/>
  </sortState>
  <mergeCells count="13">
    <mergeCell ref="A5:A6"/>
    <mergeCell ref="F80:G80"/>
    <mergeCell ref="A80:A81"/>
    <mergeCell ref="F93:G93"/>
    <mergeCell ref="B93:C93"/>
    <mergeCell ref="D93:E93"/>
    <mergeCell ref="A53:A54"/>
    <mergeCell ref="A66:A67"/>
    <mergeCell ref="B80:C80"/>
    <mergeCell ref="D80:E80"/>
    <mergeCell ref="F37:G37"/>
    <mergeCell ref="B37:C37"/>
    <mergeCell ref="D37:E37"/>
  </mergeCells>
  <pageMargins left="0.7" right="0.7" top="0.75" bottom="0.75" header="0.3" footer="0.3"/>
  <pageSetup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43"/>
  <sheetViews>
    <sheetView zoomScale="70" zoomScaleNormal="70" workbookViewId="0">
      <selection activeCell="H42" sqref="H41:H42"/>
    </sheetView>
  </sheetViews>
  <sheetFormatPr defaultRowHeight="14.4" x14ac:dyDescent="0.3"/>
  <cols>
    <col min="1" max="1" width="5.44140625" customWidth="1"/>
    <col min="2" max="2" width="21.44140625" customWidth="1"/>
    <col min="3" max="3" width="16.44140625" customWidth="1"/>
    <col min="4" max="5" width="14" bestFit="1" customWidth="1"/>
    <col min="6" max="6" width="13.5546875" bestFit="1" customWidth="1"/>
    <col min="7" max="7" width="11.44140625" bestFit="1" customWidth="1"/>
    <col min="8" max="8" width="11.109375" bestFit="1" customWidth="1"/>
    <col min="10" max="10" width="9.109375" style="118"/>
  </cols>
  <sheetData>
    <row r="1" spans="1:15" ht="15" x14ac:dyDescent="0.25">
      <c r="A1" t="s">
        <v>583</v>
      </c>
    </row>
    <row r="2" spans="1:15" s="105" customFormat="1" ht="15" x14ac:dyDescent="0.25">
      <c r="J2" s="118"/>
    </row>
    <row r="3" spans="1:15" s="105" customFormat="1" ht="15" x14ac:dyDescent="0.25">
      <c r="A3" s="106" t="s">
        <v>253</v>
      </c>
      <c r="D3" s="105" t="s">
        <v>68</v>
      </c>
      <c r="E3" s="105">
        <v>1</v>
      </c>
      <c r="F3" s="105">
        <v>10</v>
      </c>
      <c r="G3" s="105">
        <v>50</v>
      </c>
      <c r="H3" s="105">
        <v>100</v>
      </c>
      <c r="J3" s="118"/>
    </row>
    <row r="4" spans="1:15" s="105" customFormat="1" ht="15" x14ac:dyDescent="0.25">
      <c r="B4" s="105">
        <v>2.4</v>
      </c>
      <c r="C4" s="105" t="s">
        <v>57</v>
      </c>
      <c r="E4" s="104">
        <f>C35</f>
        <v>312128.64000000001</v>
      </c>
      <c r="F4" s="104">
        <f t="shared" ref="F4:H4" si="0">D35</f>
        <v>373181.58</v>
      </c>
      <c r="G4" s="104">
        <f t="shared" si="0"/>
        <v>1003520.07</v>
      </c>
      <c r="H4" s="104">
        <f t="shared" si="0"/>
        <v>1773726.39</v>
      </c>
      <c r="J4" s="118"/>
    </row>
    <row r="5" spans="1:15" s="105" customFormat="1" ht="15" x14ac:dyDescent="0.25">
      <c r="J5" s="118"/>
    </row>
    <row r="6" spans="1:15" s="105" customFormat="1" ht="15" x14ac:dyDescent="0.25">
      <c r="J6" s="118"/>
    </row>
    <row r="7" spans="1:15" s="105" customFormat="1" ht="15" x14ac:dyDescent="0.25">
      <c r="J7" s="118"/>
    </row>
    <row r="8" spans="1:15" ht="15" x14ac:dyDescent="0.25">
      <c r="B8" t="s">
        <v>188</v>
      </c>
    </row>
    <row r="10" spans="1:15" ht="15" x14ac:dyDescent="0.25">
      <c r="B10" s="18" t="s">
        <v>237</v>
      </c>
      <c r="C10" s="17"/>
      <c r="D10" s="17"/>
      <c r="E10" s="17"/>
      <c r="F10" s="17"/>
      <c r="G10" s="17"/>
      <c r="H10" s="17"/>
      <c r="I10" s="17"/>
      <c r="K10" s="17"/>
      <c r="L10" s="17"/>
      <c r="M10" s="17"/>
      <c r="N10" s="17"/>
      <c r="O10" s="17"/>
    </row>
    <row r="11" spans="1:15" ht="15.75" x14ac:dyDescent="0.25">
      <c r="B11" s="36"/>
      <c r="C11" s="372" t="s">
        <v>209</v>
      </c>
      <c r="D11" s="372" t="s">
        <v>210</v>
      </c>
      <c r="E11" s="384"/>
      <c r="F11" s="371"/>
      <c r="G11" s="383" t="s">
        <v>211</v>
      </c>
      <c r="H11" s="382"/>
      <c r="I11" s="381"/>
      <c r="J11" s="382"/>
      <c r="K11" s="404"/>
      <c r="L11" s="370" t="s">
        <v>212</v>
      </c>
      <c r="M11" s="382"/>
      <c r="N11" s="382"/>
      <c r="O11" s="64" t="s">
        <v>213</v>
      </c>
    </row>
    <row r="12" spans="1:15" ht="15" x14ac:dyDescent="0.25">
      <c r="B12" s="61"/>
      <c r="C12" s="380" t="s">
        <v>215</v>
      </c>
      <c r="D12" s="380" t="s">
        <v>216</v>
      </c>
      <c r="E12" s="369" t="s">
        <v>86</v>
      </c>
      <c r="F12" s="379" t="s">
        <v>217</v>
      </c>
      <c r="G12" s="368" t="s">
        <v>218</v>
      </c>
      <c r="H12" s="368" t="s">
        <v>219</v>
      </c>
      <c r="I12" s="378" t="s">
        <v>220</v>
      </c>
      <c r="J12" s="368" t="s">
        <v>367</v>
      </c>
      <c r="K12" s="379" t="s">
        <v>217</v>
      </c>
      <c r="L12" s="368" t="s">
        <v>218</v>
      </c>
      <c r="M12" s="368" t="s">
        <v>219</v>
      </c>
      <c r="N12" s="368" t="s">
        <v>220</v>
      </c>
      <c r="O12" s="64"/>
    </row>
    <row r="13" spans="1:15" ht="15" x14ac:dyDescent="0.25">
      <c r="B13" s="38" t="s">
        <v>221</v>
      </c>
      <c r="C13" s="39">
        <v>85000</v>
      </c>
      <c r="D13" s="40">
        <v>35</v>
      </c>
      <c r="E13" s="41">
        <v>114750.00000000001</v>
      </c>
      <c r="F13" s="42">
        <v>1</v>
      </c>
      <c r="G13" s="40">
        <v>1</v>
      </c>
      <c r="H13" s="40">
        <v>1</v>
      </c>
      <c r="I13" s="40">
        <v>1</v>
      </c>
      <c r="J13" s="121">
        <v>1</v>
      </c>
      <c r="K13" s="43">
        <v>114750.00000000001</v>
      </c>
      <c r="L13" s="44">
        <v>114750.00000000001</v>
      </c>
      <c r="M13" s="44">
        <v>114750.00000000001</v>
      </c>
      <c r="N13" s="44">
        <v>114750.00000000001</v>
      </c>
      <c r="O13" s="66">
        <f>AVERAGE(K13:N13)</f>
        <v>114750.00000000001</v>
      </c>
    </row>
    <row r="14" spans="1:15" ht="15" x14ac:dyDescent="0.25">
      <c r="B14" s="38" t="s">
        <v>222</v>
      </c>
      <c r="C14" s="45">
        <v>35000</v>
      </c>
      <c r="D14" s="46">
        <v>35</v>
      </c>
      <c r="E14" s="41">
        <v>47250</v>
      </c>
      <c r="F14" s="47">
        <v>2</v>
      </c>
      <c r="G14" s="46">
        <v>2</v>
      </c>
      <c r="H14" s="46">
        <v>2</v>
      </c>
      <c r="I14" s="46">
        <v>2</v>
      </c>
      <c r="J14" s="121">
        <v>2</v>
      </c>
      <c r="K14" s="48">
        <v>94500</v>
      </c>
      <c r="L14" s="44">
        <v>94500</v>
      </c>
      <c r="M14" s="44">
        <v>94500</v>
      </c>
      <c r="N14" s="44">
        <v>94500</v>
      </c>
      <c r="O14" s="66">
        <f>AVERAGE(K14:N14)</f>
        <v>94500</v>
      </c>
    </row>
    <row r="15" spans="1:15" ht="15" x14ac:dyDescent="0.25">
      <c r="B15" s="38" t="s">
        <v>223</v>
      </c>
      <c r="C15" s="49">
        <v>18</v>
      </c>
      <c r="D15" s="46">
        <v>35</v>
      </c>
      <c r="E15" s="50">
        <v>24.3</v>
      </c>
      <c r="F15" s="46">
        <v>1</v>
      </c>
      <c r="G15" s="46">
        <v>2</v>
      </c>
      <c r="H15" s="46">
        <v>3</v>
      </c>
      <c r="I15" s="46">
        <v>4</v>
      </c>
      <c r="J15" s="121">
        <f>AVERAGE(F15:I15)</f>
        <v>2.5</v>
      </c>
      <c r="K15" s="43">
        <v>50544</v>
      </c>
      <c r="L15" s="44">
        <v>101088</v>
      </c>
      <c r="M15" s="44">
        <v>151632</v>
      </c>
      <c r="N15" s="44">
        <v>202176</v>
      </c>
      <c r="O15" s="66">
        <f>AVERAGE(K15:N15)</f>
        <v>126360</v>
      </c>
    </row>
    <row r="16" spans="1:15" ht="15" x14ac:dyDescent="0.25">
      <c r="B16" s="38" t="s">
        <v>224</v>
      </c>
      <c r="C16" s="49">
        <v>12</v>
      </c>
      <c r="D16" s="46">
        <v>35</v>
      </c>
      <c r="E16" s="50">
        <v>16.200000000000003</v>
      </c>
      <c r="F16" s="46">
        <v>4</v>
      </c>
      <c r="G16" s="46">
        <v>6</v>
      </c>
      <c r="H16" s="46">
        <v>7</v>
      </c>
      <c r="I16" s="46">
        <v>9</v>
      </c>
      <c r="J16" s="122">
        <f>AVERAGE(F16:I16)</f>
        <v>6.5</v>
      </c>
      <c r="K16" s="51">
        <v>134784.00000000003</v>
      </c>
      <c r="L16" s="52">
        <v>202176.00000000003</v>
      </c>
      <c r="M16" s="52">
        <v>235872.00000000003</v>
      </c>
      <c r="N16" s="52">
        <v>303264</v>
      </c>
      <c r="O16" s="66">
        <f>AVERAGE(K16:N16)</f>
        <v>219024.00000000003</v>
      </c>
    </row>
    <row r="17" spans="2:15" ht="15" x14ac:dyDescent="0.25">
      <c r="B17" s="53" t="s">
        <v>225</v>
      </c>
      <c r="C17" s="54"/>
      <c r="D17" s="55"/>
      <c r="E17" s="56"/>
      <c r="F17" s="57"/>
      <c r="G17" s="58"/>
      <c r="H17" s="58"/>
      <c r="I17" s="59"/>
      <c r="J17" s="128">
        <f>SUM(J13:J16)</f>
        <v>12</v>
      </c>
      <c r="K17" s="125">
        <v>394578</v>
      </c>
      <c r="L17" s="126">
        <v>512514</v>
      </c>
      <c r="M17" s="126">
        <v>596754</v>
      </c>
      <c r="N17" s="127">
        <v>714690</v>
      </c>
      <c r="O17" s="62"/>
    </row>
    <row r="20" spans="2:15" s="118" customFormat="1" ht="15" x14ac:dyDescent="0.25">
      <c r="B20" s="124" t="s">
        <v>368</v>
      </c>
    </row>
    <row r="21" spans="2:15" s="118" customFormat="1" ht="15" x14ac:dyDescent="0.25">
      <c r="B21" s="35"/>
    </row>
    <row r="22" spans="2:15" s="118" customFormat="1" ht="15.75" x14ac:dyDescent="0.25">
      <c r="B22" s="36"/>
      <c r="C22" s="120" t="s">
        <v>366</v>
      </c>
      <c r="D22" s="120" t="s">
        <v>365</v>
      </c>
      <c r="E22" s="68" t="s">
        <v>177</v>
      </c>
      <c r="F22" s="68" t="s">
        <v>176</v>
      </c>
      <c r="G22" s="68" t="s">
        <v>175</v>
      </c>
      <c r="H22" s="68" t="s">
        <v>214</v>
      </c>
    </row>
    <row r="23" spans="2:15" s="118" customFormat="1" ht="15" x14ac:dyDescent="0.25">
      <c r="B23" s="61"/>
      <c r="C23" s="64"/>
      <c r="D23" s="64"/>
      <c r="E23" s="65"/>
      <c r="F23" s="65"/>
      <c r="G23" s="65"/>
      <c r="H23" s="65"/>
    </row>
    <row r="24" spans="2:15" s="118" customFormat="1" ht="15" x14ac:dyDescent="0.25">
      <c r="B24" s="38" t="s">
        <v>221</v>
      </c>
      <c r="C24" s="66">
        <v>114750.00000000001</v>
      </c>
      <c r="D24" s="66">
        <v>114750.00000000001</v>
      </c>
      <c r="E24" s="67">
        <v>114750.00000000001</v>
      </c>
      <c r="F24" s="67">
        <v>114750.00000000001</v>
      </c>
      <c r="G24" s="67">
        <v>114750.00000000001</v>
      </c>
      <c r="H24" s="67">
        <v>114750.00000000001</v>
      </c>
    </row>
    <row r="25" spans="2:15" s="118" customFormat="1" ht="15" x14ac:dyDescent="0.25">
      <c r="B25" s="38" t="s">
        <v>222</v>
      </c>
      <c r="C25" s="66">
        <v>94500</v>
      </c>
      <c r="D25" s="66">
        <v>94500</v>
      </c>
      <c r="E25" s="67">
        <v>94500</v>
      </c>
      <c r="F25" s="65">
        <v>47250</v>
      </c>
      <c r="G25" s="65">
        <v>47250</v>
      </c>
      <c r="H25" s="65">
        <v>47250</v>
      </c>
    </row>
    <row r="26" spans="2:15" s="118" customFormat="1" ht="15" x14ac:dyDescent="0.25">
      <c r="B26" s="38" t="s">
        <v>223</v>
      </c>
      <c r="C26" s="66">
        <v>505440</v>
      </c>
      <c r="D26" s="66">
        <v>252720</v>
      </c>
      <c r="E26" s="67">
        <v>126360</v>
      </c>
      <c r="F26" s="65">
        <v>63180</v>
      </c>
      <c r="G26" s="67">
        <v>50544</v>
      </c>
      <c r="H26" s="67">
        <v>50544</v>
      </c>
    </row>
    <row r="27" spans="2:15" s="118" customFormat="1" ht="15" x14ac:dyDescent="0.25">
      <c r="B27" s="38" t="s">
        <v>224</v>
      </c>
      <c r="C27" s="66">
        <v>876096.00000000012</v>
      </c>
      <c r="D27" s="66">
        <v>438048.00000000006</v>
      </c>
      <c r="E27" s="67">
        <v>219024.00000000003</v>
      </c>
      <c r="F27" s="65">
        <v>109512.00000000001</v>
      </c>
      <c r="G27" s="65">
        <v>67392.000000000015</v>
      </c>
      <c r="H27" s="65">
        <v>67392.000000000015</v>
      </c>
    </row>
    <row r="28" spans="2:15" s="118" customFormat="1" ht="15" x14ac:dyDescent="0.25">
      <c r="B28" s="53" t="s">
        <v>225</v>
      </c>
      <c r="C28" s="123">
        <v>1590786</v>
      </c>
      <c r="D28" s="123">
        <v>900018</v>
      </c>
      <c r="E28" s="123">
        <v>554634</v>
      </c>
      <c r="F28" s="123">
        <v>334692</v>
      </c>
      <c r="G28" s="123">
        <v>279936</v>
      </c>
      <c r="H28" s="123">
        <v>279936</v>
      </c>
    </row>
    <row r="29" spans="2:15" s="118" customFormat="1" ht="15" x14ac:dyDescent="0.25">
      <c r="B29" s="35"/>
    </row>
    <row r="30" spans="2:15" s="118" customFormat="1" ht="15" x14ac:dyDescent="0.25">
      <c r="B30" s="399" t="s">
        <v>584</v>
      </c>
    </row>
    <row r="31" spans="2:15" s="118" customFormat="1" ht="15" x14ac:dyDescent="0.25">
      <c r="B31" s="399"/>
    </row>
    <row r="32" spans="2:15" s="118" customFormat="1" ht="15" x14ac:dyDescent="0.25">
      <c r="B32" s="399" t="s">
        <v>585</v>
      </c>
      <c r="C32" s="118">
        <v>1.115</v>
      </c>
    </row>
    <row r="33" spans="2:6" s="118" customFormat="1" ht="15" x14ac:dyDescent="0.25">
      <c r="B33" s="399"/>
    </row>
    <row r="34" spans="2:6" s="118" customFormat="1" ht="15" x14ac:dyDescent="0.25">
      <c r="B34" s="399"/>
      <c r="C34" s="110" t="s">
        <v>155</v>
      </c>
      <c r="D34" s="110" t="s">
        <v>247</v>
      </c>
      <c r="E34" s="110" t="s">
        <v>249</v>
      </c>
      <c r="F34" s="110" t="s">
        <v>248</v>
      </c>
    </row>
    <row r="35" spans="2:6" s="118" customFormat="1" ht="15" x14ac:dyDescent="0.25">
      <c r="B35" s="145" t="s">
        <v>586</v>
      </c>
      <c r="C35" s="229">
        <f>H28*C32</f>
        <v>312128.64000000001</v>
      </c>
      <c r="D35" s="229">
        <f>C32*F28</f>
        <v>373181.58</v>
      </c>
      <c r="E35" s="229">
        <f>C32*D28</f>
        <v>1003520.07</v>
      </c>
      <c r="F35" s="229">
        <f>C32*C28</f>
        <v>1773726.39</v>
      </c>
    </row>
    <row r="36" spans="2:6" s="118" customFormat="1" ht="15" x14ac:dyDescent="0.25">
      <c r="B36" s="35"/>
    </row>
    <row r="37" spans="2:6" s="118" customFormat="1" ht="15" x14ac:dyDescent="0.25">
      <c r="B37" s="35"/>
    </row>
    <row r="38" spans="2:6" s="118" customFormat="1" ht="15" x14ac:dyDescent="0.25">
      <c r="B38" s="35"/>
    </row>
    <row r="39" spans="2:6" s="118" customFormat="1" ht="15" x14ac:dyDescent="0.25">
      <c r="B39" s="35"/>
    </row>
    <row r="40" spans="2:6" s="118" customFormat="1" ht="15" x14ac:dyDescent="0.25">
      <c r="B40" s="35"/>
    </row>
    <row r="41" spans="2:6" s="118" customFormat="1" ht="15" x14ac:dyDescent="0.25">
      <c r="B41" s="35"/>
    </row>
    <row r="42" spans="2:6" s="118" customFormat="1" ht="15" x14ac:dyDescent="0.25">
      <c r="B42" s="35"/>
    </row>
    <row r="43" spans="2:6" s="118" customFormat="1" ht="15" x14ac:dyDescent="0.25">
      <c r="B43" s="35"/>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64"/>
  <sheetViews>
    <sheetView topLeftCell="A6" zoomScale="70" zoomScaleNormal="70" workbookViewId="0">
      <selection activeCell="L41" sqref="L41:M41"/>
    </sheetView>
  </sheetViews>
  <sheetFormatPr defaultRowHeight="14.4" x14ac:dyDescent="0.3"/>
  <cols>
    <col min="1" max="1" width="4.6640625" customWidth="1"/>
    <col min="2" max="2" width="5.88671875" customWidth="1"/>
    <col min="3" max="3" width="4.33203125" customWidth="1"/>
    <col min="4" max="4" width="52.109375" customWidth="1"/>
    <col min="5" max="5" width="23.44140625" customWidth="1"/>
    <col min="6" max="6" width="16.88671875" customWidth="1"/>
    <col min="7" max="7" width="14.6640625" bestFit="1" customWidth="1"/>
    <col min="8" max="8" width="15.109375" style="118" bestFit="1" customWidth="1"/>
    <col min="9" max="9" width="16.5546875" style="118" bestFit="1" customWidth="1"/>
    <col min="10" max="10" width="14.44140625" style="118" customWidth="1"/>
    <col min="11" max="11" width="13.109375" customWidth="1"/>
    <col min="12" max="12" width="14.5546875" customWidth="1"/>
    <col min="13" max="13" width="17.109375" customWidth="1"/>
    <col min="14" max="14" width="20" customWidth="1"/>
    <col min="15" max="15" width="14.88671875" customWidth="1"/>
    <col min="16" max="16" width="13.33203125" customWidth="1"/>
    <col min="17" max="17" width="10.6640625" customWidth="1"/>
    <col min="18" max="18" width="11.44140625" customWidth="1"/>
    <col min="19" max="19" width="12.6640625" customWidth="1"/>
    <col min="20" max="20" width="12.44140625" customWidth="1"/>
    <col min="21" max="21" width="11.44140625" customWidth="1"/>
    <col min="22" max="22" width="16.109375" customWidth="1"/>
    <col min="23" max="23" width="13.6640625" customWidth="1"/>
  </cols>
  <sheetData>
    <row r="1" spans="1:10" x14ac:dyDescent="0.25">
      <c r="A1" s="106" t="s">
        <v>302</v>
      </c>
      <c r="C1" s="83"/>
      <c r="D1" s="83"/>
      <c r="E1" s="83"/>
      <c r="F1" s="83"/>
    </row>
    <row r="2" spans="1:10" s="118" customFormat="1" x14ac:dyDescent="0.25">
      <c r="A2" s="106"/>
    </row>
    <row r="3" spans="1:10" x14ac:dyDescent="0.25">
      <c r="E3" s="548" t="s">
        <v>444</v>
      </c>
      <c r="F3" s="548"/>
      <c r="G3" s="548"/>
      <c r="H3" s="548"/>
    </row>
    <row r="4" spans="1:10" x14ac:dyDescent="0.25">
      <c r="A4" s="106" t="s">
        <v>253</v>
      </c>
      <c r="E4" s="92">
        <v>1</v>
      </c>
      <c r="F4" s="92">
        <v>10</v>
      </c>
      <c r="G4" s="92">
        <v>50</v>
      </c>
      <c r="H4" s="92">
        <v>100</v>
      </c>
      <c r="I4" s="110"/>
      <c r="J4" s="110"/>
    </row>
    <row r="5" spans="1:10" x14ac:dyDescent="0.25">
      <c r="B5">
        <v>2.5</v>
      </c>
      <c r="C5" t="s">
        <v>58</v>
      </c>
      <c r="E5" s="87">
        <f>F42</f>
        <v>731279.72399479512</v>
      </c>
      <c r="F5" s="87">
        <f t="shared" ref="F5:H5" si="0">G42</f>
        <v>4582327.795116581</v>
      </c>
      <c r="G5" s="87">
        <f t="shared" si="0"/>
        <v>20577411.240792658</v>
      </c>
      <c r="H5" s="87">
        <f t="shared" si="0"/>
        <v>39994454.624073528</v>
      </c>
      <c r="I5" s="91"/>
      <c r="J5" s="91"/>
    </row>
    <row r="9" spans="1:10" x14ac:dyDescent="0.25">
      <c r="B9" s="83" t="s">
        <v>87</v>
      </c>
      <c r="C9" s="83"/>
      <c r="D9" s="83"/>
      <c r="E9" s="83"/>
      <c r="F9" s="83"/>
    </row>
    <row r="10" spans="1:10" x14ac:dyDescent="0.25">
      <c r="B10" s="83" t="s">
        <v>260</v>
      </c>
      <c r="C10" s="83"/>
      <c r="D10" s="83"/>
      <c r="E10" s="83"/>
      <c r="F10" s="83"/>
    </row>
    <row r="11" spans="1:10" x14ac:dyDescent="0.25">
      <c r="B11" s="83" t="s">
        <v>261</v>
      </c>
      <c r="C11" s="83"/>
      <c r="D11" s="83"/>
      <c r="E11" s="83"/>
      <c r="F11" s="83"/>
    </row>
    <row r="12" spans="1:10" x14ac:dyDescent="0.25">
      <c r="B12" s="83" t="s">
        <v>262</v>
      </c>
      <c r="C12" s="83"/>
      <c r="D12" s="83"/>
      <c r="E12" s="83"/>
      <c r="F12" s="83"/>
    </row>
    <row r="13" spans="1:10" s="118" customFormat="1" x14ac:dyDescent="0.25">
      <c r="B13" s="118" t="s">
        <v>369</v>
      </c>
    </row>
    <row r="14" spans="1:10" s="118" customFormat="1" x14ac:dyDescent="0.25">
      <c r="B14" s="118" t="s">
        <v>433</v>
      </c>
    </row>
    <row r="15" spans="1:10" s="118" customFormat="1" x14ac:dyDescent="0.25">
      <c r="B15" s="118" t="s">
        <v>434</v>
      </c>
    </row>
    <row r="16" spans="1:10" s="118" customFormat="1" x14ac:dyDescent="0.25"/>
    <row r="17" spans="2:9" s="118" customFormat="1" x14ac:dyDescent="0.25"/>
    <row r="18" spans="2:9" s="118" customFormat="1" x14ac:dyDescent="0.25">
      <c r="B18" s="118" t="s">
        <v>435</v>
      </c>
    </row>
    <row r="19" spans="2:9" s="118" customFormat="1" x14ac:dyDescent="0.25">
      <c r="C19" s="118" t="s">
        <v>421</v>
      </c>
      <c r="E19" s="118">
        <v>60</v>
      </c>
    </row>
    <row r="20" spans="2:9" s="118" customFormat="1" x14ac:dyDescent="0.25">
      <c r="C20" s="118" t="s">
        <v>422</v>
      </c>
      <c r="E20" s="118">
        <v>1500</v>
      </c>
      <c r="F20" s="118" t="s">
        <v>417</v>
      </c>
    </row>
    <row r="21" spans="2:9" s="118" customFormat="1" x14ac:dyDescent="0.25">
      <c r="C21" s="118" t="s">
        <v>423</v>
      </c>
      <c r="E21" s="87">
        <v>13600000</v>
      </c>
    </row>
    <row r="22" spans="2:9" s="118" customFormat="1" x14ac:dyDescent="0.25">
      <c r="C22" s="118" t="s">
        <v>424</v>
      </c>
      <c r="E22" s="87">
        <f>E21/E19</f>
        <v>226666.66666666666</v>
      </c>
    </row>
    <row r="23" spans="2:9" s="118" customFormat="1" x14ac:dyDescent="0.25">
      <c r="C23" s="118" t="s">
        <v>425</v>
      </c>
      <c r="E23" s="87">
        <f>E22/E20</f>
        <v>151.11111111111111</v>
      </c>
    </row>
    <row r="24" spans="2:9" s="118" customFormat="1" x14ac:dyDescent="0.25">
      <c r="C24" s="118" t="s">
        <v>427</v>
      </c>
      <c r="E24" s="91">
        <f>E23/20</f>
        <v>7.5555555555555554</v>
      </c>
      <c r="F24" s="118" t="s">
        <v>427</v>
      </c>
    </row>
    <row r="25" spans="2:9" s="118" customFormat="1" x14ac:dyDescent="0.25">
      <c r="C25" s="118" t="s">
        <v>426</v>
      </c>
      <c r="E25" s="87">
        <v>800</v>
      </c>
      <c r="F25" s="118" t="s">
        <v>428</v>
      </c>
    </row>
    <row r="26" spans="2:9" s="118" customFormat="1" x14ac:dyDescent="0.25">
      <c r="C26" s="118" t="s">
        <v>429</v>
      </c>
      <c r="E26" s="93">
        <f>E24/E25</f>
        <v>9.4444444444444445E-3</v>
      </c>
    </row>
    <row r="27" spans="2:9" s="118" customFormat="1" x14ac:dyDescent="0.25">
      <c r="E27" s="93"/>
    </row>
    <row r="28" spans="2:9" s="118" customFormat="1" x14ac:dyDescent="0.25">
      <c r="E28" s="91"/>
      <c r="F28" s="110" t="s">
        <v>155</v>
      </c>
      <c r="G28" s="110" t="s">
        <v>247</v>
      </c>
      <c r="H28" s="110" t="s">
        <v>249</v>
      </c>
      <c r="I28" s="110" t="s">
        <v>248</v>
      </c>
    </row>
    <row r="29" spans="2:9" s="118" customFormat="1" x14ac:dyDescent="0.25">
      <c r="B29" s="118" t="s">
        <v>430</v>
      </c>
      <c r="E29" s="87">
        <f>SUM(F48:F61)-F60-F53</f>
        <v>8913230.8333751149</v>
      </c>
      <c r="F29" s="87">
        <f>SUM(G48:G61)-G60-G53</f>
        <v>20210774.017686635</v>
      </c>
      <c r="G29" s="87">
        <f>SUM(H48:H61)-H60-H53</f>
        <v>138091723.31236836</v>
      </c>
      <c r="H29" s="87">
        <f>SUM(I48:I61)-I60-I53</f>
        <v>544822642.64287472</v>
      </c>
      <c r="I29" s="87">
        <f>SUM(J48:J61)-J60-J53</f>
        <v>991205513.31391239</v>
      </c>
    </row>
    <row r="30" spans="2:9" x14ac:dyDescent="0.25">
      <c r="B30" t="s">
        <v>431</v>
      </c>
      <c r="E30" s="87">
        <f>E29*$E$26</f>
        <v>84180.513426320525</v>
      </c>
      <c r="F30" s="87">
        <f>F29*$E$26</f>
        <v>190879.53238926266</v>
      </c>
      <c r="G30" s="87">
        <f t="shared" ref="G30:I30" si="1">G29*$E$26</f>
        <v>1304199.6090612567</v>
      </c>
      <c r="H30" s="87">
        <f t="shared" si="1"/>
        <v>5145547.180516039</v>
      </c>
      <c r="I30" s="87">
        <f t="shared" si="1"/>
        <v>9361385.4035202842</v>
      </c>
    </row>
    <row r="31" spans="2:9" s="118" customFormat="1" x14ac:dyDescent="0.25">
      <c r="E31" s="87"/>
      <c r="F31" s="87"/>
      <c r="G31" s="87"/>
      <c r="H31" s="87"/>
      <c r="I31" s="87"/>
    </row>
    <row r="32" spans="2:9" s="118" customFormat="1" x14ac:dyDescent="0.25">
      <c r="E32" s="87"/>
      <c r="F32" s="154" t="s">
        <v>155</v>
      </c>
      <c r="G32" s="154" t="s">
        <v>247</v>
      </c>
      <c r="H32" s="154" t="s">
        <v>249</v>
      </c>
      <c r="I32" s="154" t="s">
        <v>248</v>
      </c>
    </row>
    <row r="33" spans="1:12" s="118" customFormat="1" x14ac:dyDescent="0.25">
      <c r="B33" s="118" t="s">
        <v>432</v>
      </c>
      <c r="E33" s="87"/>
      <c r="F33" s="87">
        <f>'1.3'!E10</f>
        <v>2220884.1322834645</v>
      </c>
      <c r="G33" s="87">
        <f>'1.3'!F10</f>
        <v>18353305.022834644</v>
      </c>
      <c r="H33" s="87">
        <f>'1.3'!G10</f>
        <v>89913512.414173231</v>
      </c>
      <c r="I33" s="87">
        <f>'1.3'!H10</f>
        <v>179454124.82834646</v>
      </c>
    </row>
    <row r="34" spans="1:12" s="118" customFormat="1" x14ac:dyDescent="0.25">
      <c r="B34" s="118" t="s">
        <v>436</v>
      </c>
      <c r="E34" s="87"/>
      <c r="F34" s="87">
        <f>'1.7'!F7</f>
        <v>2805379.4541666671</v>
      </c>
      <c r="G34" s="87">
        <f>'1.7'!G7</f>
        <v>10650593.541666668</v>
      </c>
      <c r="H34" s="87">
        <f>'1.7'!H7</f>
        <v>45518211.708333328</v>
      </c>
      <c r="I34" s="87">
        <f>'1.7'!I7</f>
        <v>89102734.416666657</v>
      </c>
    </row>
    <row r="35" spans="1:12" s="118" customFormat="1" x14ac:dyDescent="0.25">
      <c r="B35" s="118" t="s">
        <v>437</v>
      </c>
      <c r="E35" s="87"/>
      <c r="F35" s="87">
        <f>F33+F34</f>
        <v>5026263.5864501316</v>
      </c>
      <c r="G35" s="87">
        <f t="shared" ref="G35:I35" si="2">G33+G34</f>
        <v>29003898.564501312</v>
      </c>
      <c r="H35" s="87">
        <f t="shared" si="2"/>
        <v>135431724.12250656</v>
      </c>
      <c r="I35" s="87">
        <f t="shared" si="2"/>
        <v>268556859.24501312</v>
      </c>
    </row>
    <row r="36" spans="1:12" s="118" customFormat="1" x14ac:dyDescent="0.25">
      <c r="B36" s="118" t="s">
        <v>438</v>
      </c>
      <c r="E36" s="87"/>
      <c r="F36" s="87">
        <f>10%*F35</f>
        <v>502626.35864501318</v>
      </c>
      <c r="G36" s="87">
        <f t="shared" ref="G36:I36" si="3">10%*G35</f>
        <v>2900389.8564501312</v>
      </c>
      <c r="H36" s="87">
        <f t="shared" si="3"/>
        <v>13543172.412250657</v>
      </c>
      <c r="I36" s="87">
        <f t="shared" si="3"/>
        <v>26855685.924501315</v>
      </c>
    </row>
    <row r="37" spans="1:12" s="118" customFormat="1" x14ac:dyDescent="0.25">
      <c r="E37" s="87"/>
      <c r="F37" s="87"/>
      <c r="G37" s="87"/>
      <c r="H37" s="87"/>
      <c r="I37" s="87"/>
    </row>
    <row r="38" spans="1:12" s="118" customFormat="1" x14ac:dyDescent="0.25">
      <c r="E38" s="87"/>
      <c r="F38" s="154" t="s">
        <v>155</v>
      </c>
      <c r="G38" s="154" t="s">
        <v>247</v>
      </c>
      <c r="H38" s="154" t="s">
        <v>249</v>
      </c>
      <c r="I38" s="154" t="s">
        <v>248</v>
      </c>
    </row>
    <row r="39" spans="1:12" s="118" customFormat="1" x14ac:dyDescent="0.25">
      <c r="B39" s="118" t="s">
        <v>439</v>
      </c>
      <c r="F39" s="87">
        <f>F53</f>
        <v>377738.32960519264</v>
      </c>
      <c r="G39" s="87">
        <f>F39*10</f>
        <v>3777383.2960519264</v>
      </c>
      <c r="H39" s="87">
        <f>F39*50</f>
        <v>18886916.480259631</v>
      </c>
      <c r="I39" s="87">
        <f>F39*100</f>
        <v>37773832.960519262</v>
      </c>
    </row>
    <row r="40" spans="1:12" s="118" customFormat="1" x14ac:dyDescent="0.25">
      <c r="B40" s="118" t="s">
        <v>440</v>
      </c>
      <c r="F40" s="87">
        <f>10%*F39</f>
        <v>37773.832960519263</v>
      </c>
      <c r="G40" s="87">
        <f t="shared" ref="G40:I40" si="4">10%*G39</f>
        <v>377738.32960519264</v>
      </c>
      <c r="H40" s="87">
        <f t="shared" si="4"/>
        <v>1888691.6480259632</v>
      </c>
      <c r="I40" s="87">
        <f t="shared" si="4"/>
        <v>3777383.2960519264</v>
      </c>
    </row>
    <row r="41" spans="1:12" s="118" customFormat="1" x14ac:dyDescent="0.25"/>
    <row r="42" spans="1:12" s="118" customFormat="1" x14ac:dyDescent="0.25">
      <c r="B42" s="27" t="s">
        <v>441</v>
      </c>
      <c r="C42" s="27"/>
      <c r="D42" s="27"/>
      <c r="E42" s="27"/>
      <c r="F42" s="28">
        <f>F30+F36+F40</f>
        <v>731279.72399479512</v>
      </c>
      <c r="G42" s="28">
        <f t="shared" ref="G42:I42" si="5">G30+G36+G40</f>
        <v>4582327.795116581</v>
      </c>
      <c r="H42" s="28">
        <f t="shared" si="5"/>
        <v>20577411.240792658</v>
      </c>
      <c r="I42" s="28">
        <f t="shared" si="5"/>
        <v>39994454.624073528</v>
      </c>
    </row>
    <row r="43" spans="1:12" s="118" customFormat="1" x14ac:dyDescent="0.25"/>
    <row r="44" spans="1:12" s="118" customFormat="1" x14ac:dyDescent="0.25"/>
    <row r="45" spans="1:12" s="118" customFormat="1" x14ac:dyDescent="0.25"/>
    <row r="47" spans="1:12" s="118" customFormat="1" x14ac:dyDescent="0.25">
      <c r="A47" s="107" t="s">
        <v>442</v>
      </c>
      <c r="F47" s="118" t="s">
        <v>443</v>
      </c>
      <c r="G47" s="118">
        <v>1</v>
      </c>
      <c r="H47" s="118">
        <v>10</v>
      </c>
      <c r="I47" s="118">
        <v>50</v>
      </c>
      <c r="J47" s="118">
        <v>100</v>
      </c>
      <c r="K47" s="110" t="s">
        <v>259</v>
      </c>
      <c r="L47" s="110" t="s">
        <v>420</v>
      </c>
    </row>
    <row r="48" spans="1:12" s="118" customFormat="1" x14ac:dyDescent="0.25">
      <c r="A48" s="106"/>
      <c r="B48" s="436" t="s">
        <v>35</v>
      </c>
      <c r="C48" s="436"/>
      <c r="D48" s="436"/>
      <c r="E48" s="437" t="s">
        <v>36</v>
      </c>
      <c r="F48" s="73">
        <f>'1.5'!F4</f>
        <v>362215.86847748392</v>
      </c>
      <c r="G48" s="73">
        <f>'1.5'!G4</f>
        <v>1416000</v>
      </c>
      <c r="H48" s="73">
        <f>'1.5'!H4</f>
        <v>7161687.4391732374</v>
      </c>
      <c r="I48" s="73">
        <f>'1.5'!I4</f>
        <v>22236005.464253489</v>
      </c>
      <c r="J48" s="73">
        <f>'1.5'!J4</f>
        <v>36221586.847748391</v>
      </c>
      <c r="K48" s="438">
        <f>'1.5'!K4</f>
        <v>0.81448052587453434</v>
      </c>
      <c r="L48" s="163">
        <f>'1.5'!L4</f>
        <v>20952.38095238095</v>
      </c>
    </row>
    <row r="49" spans="1:12" s="118" customFormat="1" x14ac:dyDescent="0.25">
      <c r="B49" s="436" t="s">
        <v>37</v>
      </c>
      <c r="C49" s="436"/>
      <c r="D49" s="436"/>
      <c r="E49" s="437" t="s">
        <v>74</v>
      </c>
      <c r="F49" s="73">
        <f>'1.5'!F5</f>
        <v>2711016.3508610479</v>
      </c>
      <c r="G49" s="73">
        <f>'1.5'!G5</f>
        <v>7225650.0531471018</v>
      </c>
      <c r="H49" s="73">
        <f>'1.5'!H5</f>
        <v>44259298.954775341</v>
      </c>
      <c r="I49" s="73">
        <f>'1.5'!I5</f>
        <v>157102507.56886247</v>
      </c>
      <c r="J49" s="73">
        <f>'1.5'!J5</f>
        <v>271101635.08610457</v>
      </c>
      <c r="K49" s="438">
        <f>'1.5'!K5</f>
        <v>0.86281765734157068</v>
      </c>
      <c r="L49" s="163">
        <f>'1.5'!L5</f>
        <v>321655.32879818592</v>
      </c>
    </row>
    <row r="50" spans="1:12" s="118" customFormat="1" x14ac:dyDescent="0.25">
      <c r="B50" s="399" t="s">
        <v>38</v>
      </c>
      <c r="C50" s="399"/>
      <c r="D50" s="399"/>
      <c r="E50" s="399" t="s">
        <v>40</v>
      </c>
      <c r="F50" s="73">
        <f>'1.5'!F6</f>
        <v>66666.666666666672</v>
      </c>
      <c r="G50" s="73">
        <f>'1.5'!G6</f>
        <v>93766.666666666686</v>
      </c>
      <c r="H50" s="73">
        <f>'1.5'!H6</f>
        <v>790765.83250016486</v>
      </c>
      <c r="I50" s="73">
        <f>'1.5'!I6</f>
        <v>3509891.678764076</v>
      </c>
      <c r="J50" s="73">
        <f>'1.5'!J6</f>
        <v>6668794.1896517444</v>
      </c>
      <c r="K50" s="438">
        <f>'1.5'!K6</f>
        <v>0.95</v>
      </c>
      <c r="L50" s="163">
        <f>'1.5'!L6</f>
        <v>0</v>
      </c>
    </row>
    <row r="51" spans="1:12" s="118" customFormat="1" x14ac:dyDescent="0.25">
      <c r="B51" s="399" t="s">
        <v>39</v>
      </c>
      <c r="C51" s="399"/>
      <c r="D51" s="399"/>
      <c r="E51" s="399" t="s">
        <v>41</v>
      </c>
      <c r="F51" s="73">
        <f>'1.5'!F7</f>
        <v>428336.49932157394</v>
      </c>
      <c r="G51" s="73">
        <f>'1.5'!G7</f>
        <v>1000000</v>
      </c>
      <c r="H51" s="73">
        <f>'1.5'!H7</f>
        <v>6544742.1593335029</v>
      </c>
      <c r="I51" s="73">
        <f>'1.5'!I7</f>
        <v>24331952.207572788</v>
      </c>
      <c r="J51" s="73">
        <f>'1.5'!J7</f>
        <v>42833649.932157367</v>
      </c>
      <c r="K51" s="438">
        <f>'1.5'!K7</f>
        <v>0.88019345029837637</v>
      </c>
      <c r="L51" s="163">
        <f>'1.5'!L7</f>
        <v>9037.6417233560096</v>
      </c>
    </row>
    <row r="52" spans="1:12" s="118" customFormat="1" x14ac:dyDescent="0.25">
      <c r="B52" s="399" t="s">
        <v>42</v>
      </c>
      <c r="C52" s="399"/>
      <c r="D52" s="399"/>
      <c r="E52" s="399" t="s">
        <v>43</v>
      </c>
      <c r="F52" s="73">
        <f>'1.5'!F8</f>
        <v>622310</v>
      </c>
      <c r="G52" s="73">
        <f>'1.5'!G8</f>
        <v>875000</v>
      </c>
      <c r="H52" s="73">
        <f>'1.5'!H8</f>
        <v>7379169.2510235766</v>
      </c>
      <c r="I52" s="73">
        <f>'1.5'!I8</f>
        <v>32753166.216692846</v>
      </c>
      <c r="J52" s="73">
        <f>'1.5'!J8</f>
        <v>62231015.811716408</v>
      </c>
      <c r="K52" s="438">
        <f>'1.5'!K8</f>
        <v>0.95</v>
      </c>
      <c r="L52" s="163">
        <f>'1.5'!L8</f>
        <v>24943.310657596372</v>
      </c>
    </row>
    <row r="53" spans="1:12" s="118" customFormat="1" x14ac:dyDescent="0.25">
      <c r="B53" s="399" t="s">
        <v>44</v>
      </c>
      <c r="C53" s="399"/>
      <c r="D53" s="399"/>
      <c r="E53" s="399" t="s">
        <v>45</v>
      </c>
      <c r="F53" s="73">
        <f>'1.5'!F9</f>
        <v>377738.32960519264</v>
      </c>
      <c r="G53" s="73">
        <f>'1.5'!G9</f>
        <v>432000</v>
      </c>
      <c r="H53" s="73">
        <f>'1.5'!H9</f>
        <v>4039591.0484780907</v>
      </c>
      <c r="I53" s="73">
        <f>'1.5'!I9</f>
        <v>19272363.755366974</v>
      </c>
      <c r="J53" s="73">
        <f>'1.5'!J9</f>
        <v>37773832.960519262</v>
      </c>
      <c r="K53" s="438">
        <f>'1.5'!K9</f>
        <v>0.98</v>
      </c>
      <c r="L53" s="163">
        <f>'1.5'!L9</f>
        <v>0</v>
      </c>
    </row>
    <row r="54" spans="1:12" s="118" customFormat="1" x14ac:dyDescent="0.25">
      <c r="A54" s="37"/>
      <c r="B54" s="399" t="s">
        <v>46</v>
      </c>
      <c r="C54" s="399"/>
      <c r="D54" s="399"/>
      <c r="E54" s="399" t="s">
        <v>47</v>
      </c>
      <c r="F54" s="73">
        <f>'1.5'!F10</f>
        <v>0</v>
      </c>
      <c r="G54" s="73">
        <f>'1.5'!G10</f>
        <v>0</v>
      </c>
      <c r="H54" s="73">
        <f>'1.5'!H10</f>
        <v>0</v>
      </c>
      <c r="I54" s="73">
        <f>'1.5'!I10</f>
        <v>0</v>
      </c>
      <c r="J54" s="73">
        <f>'1.5'!J10</f>
        <v>0</v>
      </c>
      <c r="K54" s="438">
        <f>'1.5'!K10</f>
        <v>0.96699999999999997</v>
      </c>
      <c r="L54" s="163">
        <f>'1.5'!L10</f>
        <v>0</v>
      </c>
    </row>
    <row r="55" spans="1:12" s="118" customFormat="1" x14ac:dyDescent="0.25">
      <c r="B55" s="399" t="s">
        <v>48</v>
      </c>
      <c r="C55" s="399"/>
      <c r="D55" s="399"/>
      <c r="E55" s="399" t="s">
        <v>62</v>
      </c>
      <c r="F55" s="73">
        <f>'1.5'!F11</f>
        <v>1821576</v>
      </c>
      <c r="G55" s="73">
        <f>'1.5'!G11</f>
        <v>2005596</v>
      </c>
      <c r="H55" s="73">
        <f>'1.5'!H11</f>
        <v>19113726.84563636</v>
      </c>
      <c r="I55" s="73">
        <f>'1.5'!I11</f>
        <v>92407718.694488361</v>
      </c>
      <c r="J55" s="73">
        <f>'1.5'!J11</f>
        <v>182157599.99999997</v>
      </c>
      <c r="K55" s="438">
        <f>'1.5'!K11</f>
        <v>0.9856189643758877</v>
      </c>
      <c r="L55" s="163">
        <f>'1.5'!L11</f>
        <v>39267.682539682544</v>
      </c>
    </row>
    <row r="56" spans="1:12" s="118" customFormat="1" x14ac:dyDescent="0.25">
      <c r="B56" s="399" t="s">
        <v>63</v>
      </c>
      <c r="C56" s="399"/>
      <c r="D56" s="399"/>
      <c r="E56" s="399" t="s">
        <v>64</v>
      </c>
      <c r="F56" s="73">
        <f>'1.5'!F12</f>
        <v>285940.4201145767</v>
      </c>
      <c r="G56" s="73">
        <f>'1.5'!G12</f>
        <v>400000</v>
      </c>
      <c r="H56" s="73">
        <f>'1.5'!H12</f>
        <v>3381954.5834595524</v>
      </c>
      <c r="I56" s="73">
        <f>'1.5'!I12</f>
        <v>15037938.348065628</v>
      </c>
      <c r="J56" s="73">
        <f>'1.5'!J12</f>
        <v>28594042.011457674</v>
      </c>
      <c r="K56" s="438">
        <f>'1.5'!K12</f>
        <v>0.95073012502195198</v>
      </c>
      <c r="L56" s="163">
        <f>'1.5'!L12</f>
        <v>0</v>
      </c>
    </row>
    <row r="57" spans="1:12" s="118" customFormat="1" x14ac:dyDescent="0.25">
      <c r="B57" s="399" t="s">
        <v>69</v>
      </c>
      <c r="C57" s="399"/>
      <c r="D57" s="399"/>
      <c r="E57" s="399" t="s">
        <v>66</v>
      </c>
      <c r="F57" s="73">
        <f>'1.5'!F13</f>
        <v>1793545.8924794821</v>
      </c>
      <c r="G57" s="73">
        <f>'1.5'!G13</f>
        <v>2372304</v>
      </c>
      <c r="H57" s="73">
        <f>'1.5'!H13</f>
        <v>20627254.04631611</v>
      </c>
      <c r="I57" s="73">
        <f>'1.5'!I13</f>
        <v>93532754.790953368</v>
      </c>
      <c r="J57" s="73">
        <f>'1.5'!J13</f>
        <v>179354589.24794811</v>
      </c>
      <c r="K57" s="438">
        <f>'1.5'!K13</f>
        <v>0.95877957218734455</v>
      </c>
      <c r="L57" s="163">
        <f>'1.5'!L13</f>
        <v>73278.784580498861</v>
      </c>
    </row>
    <row r="58" spans="1:12" s="118" customFormat="1" x14ac:dyDescent="0.25">
      <c r="B58" s="399" t="s">
        <v>70</v>
      </c>
      <c r="C58" s="399"/>
      <c r="D58" s="399"/>
      <c r="E58" s="399" t="s">
        <v>67</v>
      </c>
      <c r="F58" s="73">
        <f>'1.5'!F14</f>
        <v>0</v>
      </c>
      <c r="G58" s="73">
        <f>'1.5'!G14</f>
        <v>1965713.2083166451</v>
      </c>
      <c r="H58" s="73">
        <f>'1.5'!H14</f>
        <v>13672416.817989716</v>
      </c>
      <c r="I58" s="73">
        <f>'1.5'!I14</f>
        <v>54616474.590475112</v>
      </c>
      <c r="J58" s="73">
        <f>'1.5'!J14</f>
        <v>99880286.641700208</v>
      </c>
      <c r="K58" s="438">
        <f>'1.5'!K14</f>
        <v>0.96699999999999997</v>
      </c>
      <c r="L58" s="163"/>
    </row>
    <row r="59" spans="1:12" s="118" customFormat="1" x14ac:dyDescent="0.25">
      <c r="B59" s="399" t="s">
        <v>71</v>
      </c>
      <c r="C59" s="399"/>
      <c r="D59" s="399"/>
      <c r="E59" s="399" t="s">
        <v>72</v>
      </c>
      <c r="F59" s="73">
        <f>'1.5'!F15</f>
        <v>519293.4554891286</v>
      </c>
      <c r="G59" s="73">
        <f>'1.5'!G15</f>
        <v>1397172</v>
      </c>
      <c r="H59" s="73">
        <f>'1.5'!H15</f>
        <v>8517876.9408383518</v>
      </c>
      <c r="I59" s="73">
        <f>'1.5'!I15</f>
        <v>30135595.125324477</v>
      </c>
      <c r="J59" s="73">
        <f>'1.5'!J15</f>
        <v>51929345.548912868</v>
      </c>
      <c r="K59" s="438">
        <f>'1.5'!K15</f>
        <v>0.86159482387779363</v>
      </c>
      <c r="L59" s="163">
        <f>'1.5'!L15</f>
        <v>73278.911564625843</v>
      </c>
    </row>
    <row r="60" spans="1:12" s="118" customFormat="1" x14ac:dyDescent="0.25">
      <c r="B60" s="399" t="s">
        <v>73</v>
      </c>
      <c r="C60" s="399"/>
      <c r="D60" s="399"/>
      <c r="E60" s="399" t="s">
        <v>402</v>
      </c>
      <c r="F60" s="73">
        <f>'1.5'!F16</f>
        <v>697036.49063678167</v>
      </c>
      <c r="G60" s="73">
        <f>'1.5'!G16</f>
        <v>980071.27379646187</v>
      </c>
      <c r="H60" s="73">
        <f>'1.5'!H16</f>
        <v>8265270.6370404121</v>
      </c>
      <c r="I60" s="73">
        <f>'1.5'!I16</f>
        <v>36686214.096984453</v>
      </c>
      <c r="J60" s="73">
        <f>'1.5'!J16</f>
        <v>69703806.784270465</v>
      </c>
      <c r="K60" s="438">
        <f>'1.5'!K16</f>
        <v>0.95</v>
      </c>
      <c r="L60" s="163">
        <f>'1.5'!L16</f>
        <v>111140</v>
      </c>
    </row>
    <row r="61" spans="1:12" s="118" customFormat="1" x14ac:dyDescent="0.25">
      <c r="B61" s="399" t="s">
        <v>403</v>
      </c>
      <c r="C61" s="399"/>
      <c r="D61" s="399"/>
      <c r="E61" s="399" t="s">
        <v>18</v>
      </c>
      <c r="F61" s="73">
        <f>'1.5'!F17</f>
        <v>302329.67996515305</v>
      </c>
      <c r="G61" s="73">
        <f>'1.5'!G17</f>
        <v>1459572.0895562193</v>
      </c>
      <c r="H61" s="73">
        <f>'1.5'!H17</f>
        <v>6642830.441322444</v>
      </c>
      <c r="I61" s="73">
        <f>'1.5'!I17</f>
        <v>19158637.957422193</v>
      </c>
      <c r="J61" s="73">
        <f>'1.5'!J17</f>
        <v>30232967.996515293</v>
      </c>
      <c r="K61" s="438">
        <f>'1.5'!K17</f>
        <v>0.78901663217668438</v>
      </c>
      <c r="L61" s="163">
        <f>'1.5'!L17</f>
        <v>32673.015873015873</v>
      </c>
    </row>
    <row r="62" spans="1:12" s="118" customFormat="1" x14ac:dyDescent="0.25">
      <c r="D62" s="114"/>
      <c r="E62" s="114"/>
      <c r="F62" s="95"/>
      <c r="G62" s="95"/>
      <c r="H62" s="95"/>
      <c r="I62" s="95"/>
      <c r="J62" s="95"/>
      <c r="K62" s="95"/>
      <c r="L62" s="63"/>
    </row>
    <row r="63" spans="1:12" s="118" customFormat="1" x14ac:dyDescent="0.25">
      <c r="B63" s="114"/>
      <c r="C63" s="114"/>
      <c r="D63"/>
      <c r="E63"/>
      <c r="F63"/>
      <c r="G63"/>
      <c r="K63"/>
      <c r="L63" s="95"/>
    </row>
    <row r="64" spans="1:12" s="118" customFormat="1" x14ac:dyDescent="0.25">
      <c r="B64" s="114"/>
      <c r="C64" s="114"/>
      <c r="D64"/>
      <c r="E64"/>
      <c r="F64"/>
      <c r="G64"/>
      <c r="K64"/>
      <c r="L64" s="95"/>
    </row>
  </sheetData>
  <mergeCells count="1">
    <mergeCell ref="E3:H3"/>
  </mergeCells>
  <dataValidations count="1">
    <dataValidation type="list" showInputMessage="1" showErrorMessage="1" sqref="E48:E61">
      <formula1>$V$4:$V$39</formula1>
    </dataValidation>
  </dataValidations>
  <pageMargins left="0.7" right="0.7" top="0.75" bottom="0.75" header="0.3" footer="0.3"/>
  <pageSetup orientation="portrait"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31"/>
  <sheetViews>
    <sheetView zoomScale="70" zoomScaleNormal="70" workbookViewId="0">
      <selection activeCell="G43" sqref="G43"/>
    </sheetView>
  </sheetViews>
  <sheetFormatPr defaultRowHeight="14.4" x14ac:dyDescent="0.3"/>
  <cols>
    <col min="1" max="1" width="5" customWidth="1"/>
    <col min="2" max="2" width="5.5546875" customWidth="1"/>
    <col min="3" max="3" width="38.33203125" customWidth="1"/>
    <col min="4" max="4" width="13.33203125" customWidth="1"/>
    <col min="5" max="5" width="14.5546875" customWidth="1"/>
    <col min="6" max="6" width="14.6640625" customWidth="1"/>
    <col min="7" max="7" width="12.5546875" customWidth="1"/>
    <col min="8" max="8" width="14.109375" customWidth="1"/>
  </cols>
  <sheetData>
    <row r="1" spans="1:18" ht="15" x14ac:dyDescent="0.25">
      <c r="A1" s="20" t="s">
        <v>264</v>
      </c>
    </row>
    <row r="3" spans="1:18" ht="15" x14ac:dyDescent="0.25">
      <c r="A3" s="88" t="s">
        <v>253</v>
      </c>
      <c r="D3" s="86" t="s">
        <v>68</v>
      </c>
      <c r="E3" s="92">
        <v>1</v>
      </c>
      <c r="F3" s="92">
        <v>10</v>
      </c>
      <c r="G3" s="92">
        <v>50</v>
      </c>
      <c r="H3" s="92">
        <v>100</v>
      </c>
      <c r="I3" s="86"/>
      <c r="J3" s="86"/>
      <c r="K3" s="86"/>
      <c r="L3" s="86"/>
      <c r="M3" s="86"/>
      <c r="N3" s="86"/>
      <c r="O3" s="86"/>
    </row>
    <row r="4" spans="1:18" ht="15" x14ac:dyDescent="0.25">
      <c r="A4" s="88"/>
      <c r="B4">
        <v>2.6</v>
      </c>
      <c r="C4" t="s">
        <v>59</v>
      </c>
      <c r="D4" s="86"/>
      <c r="E4" s="80">
        <f>D31</f>
        <v>17493.606666666667</v>
      </c>
      <c r="F4" s="80">
        <f>E4*F3</f>
        <v>174936.06666666665</v>
      </c>
      <c r="G4" s="80">
        <f>E4*G3</f>
        <v>874680.33333333337</v>
      </c>
      <c r="H4" s="80">
        <f>E4*H3</f>
        <v>1749360.6666666667</v>
      </c>
      <c r="I4" s="86"/>
      <c r="J4" s="86"/>
      <c r="K4" s="86"/>
      <c r="L4" s="86"/>
      <c r="M4" s="86"/>
      <c r="N4" s="86"/>
      <c r="O4" s="86"/>
      <c r="P4" s="17"/>
      <c r="Q4" s="17"/>
      <c r="R4" s="17"/>
    </row>
    <row r="5" spans="1:18" ht="15" x14ac:dyDescent="0.25">
      <c r="D5" s="81"/>
      <c r="E5" s="86"/>
      <c r="F5" s="86"/>
      <c r="G5" s="86"/>
      <c r="H5" s="86"/>
      <c r="I5" s="86"/>
      <c r="J5" s="86"/>
      <c r="K5" s="86"/>
      <c r="L5" s="86"/>
      <c r="M5" s="86"/>
      <c r="N5" s="86"/>
      <c r="O5" s="86"/>
      <c r="P5" s="17"/>
      <c r="Q5" s="17"/>
      <c r="R5" s="17"/>
    </row>
    <row r="6" spans="1:18" ht="18" customHeight="1" x14ac:dyDescent="0.25">
      <c r="D6" s="82"/>
      <c r="G6" s="86"/>
      <c r="H6" s="86"/>
      <c r="I6" s="86"/>
      <c r="J6" s="86"/>
      <c r="K6" s="86"/>
      <c r="L6" s="86"/>
      <c r="M6" s="86"/>
      <c r="N6" s="86"/>
      <c r="O6" s="86"/>
      <c r="P6" s="17"/>
      <c r="Q6" s="17"/>
      <c r="R6" s="17"/>
    </row>
    <row r="7" spans="1:18" ht="18" customHeight="1" x14ac:dyDescent="0.25">
      <c r="A7" s="88" t="s">
        <v>87</v>
      </c>
      <c r="D7" s="82"/>
      <c r="G7" s="86"/>
      <c r="H7" s="86"/>
      <c r="I7" s="86"/>
      <c r="J7" s="86"/>
      <c r="K7" s="86"/>
      <c r="L7" s="86"/>
      <c r="M7" s="86"/>
      <c r="N7" s="86"/>
      <c r="O7" s="86"/>
      <c r="P7" s="17"/>
      <c r="Q7" s="17"/>
      <c r="R7" s="17"/>
    </row>
    <row r="8" spans="1:18" ht="15" x14ac:dyDescent="0.25">
      <c r="A8" t="s">
        <v>375</v>
      </c>
      <c r="D8" s="82"/>
      <c r="G8" s="86"/>
      <c r="H8" s="86"/>
      <c r="I8" s="86"/>
      <c r="J8" s="86"/>
      <c r="K8" s="86"/>
      <c r="L8" s="86"/>
      <c r="M8" s="86"/>
      <c r="N8" s="86"/>
      <c r="O8" s="86"/>
      <c r="P8" s="17"/>
      <c r="Q8" s="17"/>
      <c r="R8" s="17"/>
    </row>
    <row r="9" spans="1:18" ht="15" x14ac:dyDescent="0.25">
      <c r="A9" t="s">
        <v>376</v>
      </c>
      <c r="D9" s="82"/>
      <c r="G9" s="86"/>
      <c r="H9" s="86"/>
      <c r="I9" s="86"/>
      <c r="J9" s="86"/>
      <c r="K9" s="86"/>
      <c r="L9" s="86"/>
      <c r="M9" s="86"/>
      <c r="N9" s="86"/>
      <c r="O9" s="86"/>
      <c r="P9" s="17"/>
      <c r="Q9" s="17"/>
      <c r="R9" s="17"/>
    </row>
    <row r="10" spans="1:18" s="118" customFormat="1" ht="15" x14ac:dyDescent="0.25">
      <c r="C10" s="411"/>
      <c r="D10" s="409"/>
      <c r="G10" s="108"/>
      <c r="H10" s="108"/>
      <c r="I10" s="108"/>
      <c r="J10" s="108"/>
      <c r="K10" s="108"/>
      <c r="L10" s="108"/>
      <c r="M10" s="108"/>
      <c r="N10" s="108"/>
      <c r="O10" s="108"/>
    </row>
    <row r="11" spans="1:18" ht="15" x14ac:dyDescent="0.25">
      <c r="D11" s="411"/>
      <c r="G11" s="86"/>
      <c r="H11" s="86"/>
      <c r="I11" s="86"/>
      <c r="J11" s="86"/>
      <c r="K11" s="86"/>
      <c r="L11" s="86"/>
      <c r="M11" s="86"/>
      <c r="N11" s="86"/>
      <c r="O11" s="86"/>
      <c r="P11" s="17"/>
      <c r="Q11" s="17"/>
      <c r="R11" s="17"/>
    </row>
    <row r="12" spans="1:18" ht="15" x14ac:dyDescent="0.25">
      <c r="C12" s="424" t="s">
        <v>226</v>
      </c>
      <c r="D12" s="430"/>
      <c r="G12" s="86"/>
      <c r="H12" s="86"/>
      <c r="I12" s="86"/>
      <c r="J12" s="86"/>
      <c r="K12" s="86"/>
      <c r="L12" s="86"/>
      <c r="M12" s="86"/>
      <c r="N12" s="86"/>
      <c r="O12" s="86"/>
      <c r="P12" s="17"/>
      <c r="Q12" s="17"/>
      <c r="R12" s="17"/>
    </row>
    <row r="13" spans="1:18" s="391" customFormat="1" ht="15" x14ac:dyDescent="0.25">
      <c r="C13" s="424"/>
      <c r="D13" s="430"/>
      <c r="G13" s="411"/>
      <c r="H13" s="411"/>
      <c r="I13" s="411"/>
      <c r="J13" s="411"/>
      <c r="K13" s="411"/>
      <c r="L13" s="411"/>
      <c r="M13" s="411"/>
      <c r="N13" s="411"/>
      <c r="O13" s="411"/>
    </row>
    <row r="14" spans="1:18" ht="15" x14ac:dyDescent="0.25">
      <c r="C14" s="431" t="s">
        <v>227</v>
      </c>
      <c r="D14" s="431" t="s">
        <v>594</v>
      </c>
    </row>
    <row r="15" spans="1:18" ht="15" x14ac:dyDescent="0.25">
      <c r="C15" s="432" t="s">
        <v>228</v>
      </c>
      <c r="D15" s="433">
        <v>133.33333333333334</v>
      </c>
    </row>
    <row r="16" spans="1:18" ht="15" x14ac:dyDescent="0.25">
      <c r="C16" s="432" t="s">
        <v>229</v>
      </c>
      <c r="D16" s="433">
        <v>100</v>
      </c>
    </row>
    <row r="17" spans="3:4" ht="15" x14ac:dyDescent="0.25">
      <c r="C17" s="432" t="s">
        <v>230</v>
      </c>
      <c r="D17" s="433">
        <v>100</v>
      </c>
    </row>
    <row r="18" spans="3:4" ht="15" x14ac:dyDescent="0.25">
      <c r="C18" s="432" t="s">
        <v>231</v>
      </c>
      <c r="D18" s="433">
        <v>20</v>
      </c>
    </row>
    <row r="19" spans="3:4" ht="15" x14ac:dyDescent="0.25">
      <c r="C19" s="432" t="s">
        <v>232</v>
      </c>
      <c r="D19" s="433">
        <v>191.66666666666666</v>
      </c>
    </row>
    <row r="20" spans="3:4" ht="15" x14ac:dyDescent="0.25">
      <c r="C20" s="432" t="s">
        <v>233</v>
      </c>
      <c r="D20" s="433">
        <v>80</v>
      </c>
    </row>
    <row r="21" spans="3:4" ht="15" x14ac:dyDescent="0.25">
      <c r="C21" s="432" t="s">
        <v>234</v>
      </c>
      <c r="D21" s="433">
        <v>60</v>
      </c>
    </row>
    <row r="22" spans="3:4" ht="15" x14ac:dyDescent="0.25">
      <c r="C22" s="432" t="s">
        <v>235</v>
      </c>
      <c r="D22" s="433">
        <v>120</v>
      </c>
    </row>
    <row r="23" spans="3:4" ht="15" x14ac:dyDescent="0.25">
      <c r="C23" s="432" t="s">
        <v>236</v>
      </c>
      <c r="D23" s="433">
        <v>876</v>
      </c>
    </row>
    <row r="24" spans="3:4" ht="15" x14ac:dyDescent="0.25">
      <c r="C24" s="422"/>
      <c r="D24" s="423"/>
    </row>
    <row r="25" spans="3:4" ht="15" x14ac:dyDescent="0.25">
      <c r="C25" s="435" t="s">
        <v>86</v>
      </c>
      <c r="D25" s="434">
        <f>SUM(D15:D23)</f>
        <v>1681</v>
      </c>
    </row>
    <row r="27" spans="3:4" ht="15" x14ac:dyDescent="0.25">
      <c r="C27" t="s">
        <v>377</v>
      </c>
      <c r="D27" s="228">
        <f>D25*4</f>
        <v>6724</v>
      </c>
    </row>
    <row r="28" spans="3:4" ht="15" x14ac:dyDescent="0.25">
      <c r="C28" t="s">
        <v>378</v>
      </c>
      <c r="D28" s="228">
        <f>D27/3*7</f>
        <v>15689.333333333334</v>
      </c>
    </row>
    <row r="29" spans="3:4" ht="15" x14ac:dyDescent="0.25">
      <c r="C29" t="s">
        <v>379</v>
      </c>
      <c r="D29" s="237">
        <v>1.115</v>
      </c>
    </row>
    <row r="31" spans="3:4" ht="15" x14ac:dyDescent="0.25">
      <c r="C31" s="27" t="s">
        <v>380</v>
      </c>
      <c r="D31" s="229">
        <f>D28*D29</f>
        <v>17493.606666666667</v>
      </c>
    </row>
  </sheetData>
  <dataValidations count="9">
    <dataValidation type="custom" showInputMessage="1" sqref="C14:C23 D14 C25:D25 D6:D8">
      <formula1>IF(#REF!="Defaults",#REF!,VALUE(#REF!))</formula1>
    </dataValidation>
    <dataValidation type="custom" showInputMessage="1" sqref="D25">
      <formula1>IF(#REF!="Defaults",#REF!,VALUE(#REF!))</formula1>
    </dataValidation>
    <dataValidation type="custom" showInputMessage="1" sqref="C25:D25 C18:C23">
      <formula1>IF(#REF!="Defaults",#REF!,VALUE(#REF!))</formula1>
    </dataValidation>
    <dataValidation type="custom" showInputMessage="1" sqref="D6:D8 D14 C25:D25">
      <formula1>IF(#REF!="Defaults",#REF!,VALUE(#REF!))</formula1>
    </dataValidation>
    <dataValidation type="custom" showInputMessage="1" sqref="C23">
      <formula1>IF(AP4="Defaults",AU4,VALUE(AU4))</formula1>
    </dataValidation>
    <dataValidation type="custom" showInputMessage="1" sqref="D8">
      <formula1>IF(AQ4="Defaults",AV4,VALUE(AV4))</formula1>
    </dataValidation>
    <dataValidation type="custom" showInputMessage="1" sqref="C14">
      <formula1>IF(AP3="Defaults",AU3,VALUE(AU3))</formula1>
    </dataValidation>
    <dataValidation type="custom" showInputMessage="1" sqref="D25">
      <formula1>IF(#REF!="Defaults",#REF!,VALUE(#REF!))</formula1>
    </dataValidation>
    <dataValidation type="custom" showInputMessage="1" sqref="D14">
      <formula1>IF(AP3="Defaults",AU3,VALUE(AU3))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23"/>
  <sheetViews>
    <sheetView zoomScale="70" zoomScaleNormal="70" workbookViewId="0">
      <selection activeCell="Q44" sqref="Q44"/>
    </sheetView>
  </sheetViews>
  <sheetFormatPr defaultRowHeight="14.4" x14ac:dyDescent="0.3"/>
  <cols>
    <col min="1" max="1" width="16.44140625" customWidth="1"/>
    <col min="2" max="2" width="15" customWidth="1"/>
    <col min="3" max="3" width="14.6640625" customWidth="1"/>
    <col min="4" max="4" width="16.33203125" customWidth="1"/>
  </cols>
  <sheetData>
    <row r="2" spans="1:6" ht="15" x14ac:dyDescent="0.25">
      <c r="A2" t="s">
        <v>703</v>
      </c>
      <c r="B2">
        <v>1</v>
      </c>
      <c r="C2">
        <v>10</v>
      </c>
      <c r="D2">
        <v>50</v>
      </c>
      <c r="E2">
        <v>100</v>
      </c>
    </row>
    <row r="3" spans="1:6" ht="15" x14ac:dyDescent="0.25">
      <c r="A3" t="s">
        <v>704</v>
      </c>
      <c r="B3">
        <f>'CBS ($ per kW)'!J1</f>
        <v>4000</v>
      </c>
      <c r="C3" s="488">
        <f>'CBS ($ per kW)'!L1</f>
        <v>40000</v>
      </c>
      <c r="D3" s="488">
        <f>'CBS ($ per kW)'!N1</f>
        <v>200000</v>
      </c>
      <c r="E3" s="488">
        <f>'CBS ($ per kW)'!P1</f>
        <v>400000</v>
      </c>
      <c r="F3" s="488"/>
    </row>
    <row r="4" spans="1:6" ht="15" x14ac:dyDescent="0.25">
      <c r="A4" s="488" t="s">
        <v>705</v>
      </c>
      <c r="B4">
        <f>B3/1000</f>
        <v>4</v>
      </c>
      <c r="C4" s="488">
        <f t="shared" ref="C4:E4" si="0">C3/1000</f>
        <v>40</v>
      </c>
      <c r="D4" s="488">
        <f t="shared" si="0"/>
        <v>200</v>
      </c>
      <c r="E4" s="488">
        <f t="shared" si="0"/>
        <v>400</v>
      </c>
    </row>
    <row r="26" s="504" customFormat="1" ht="15" x14ac:dyDescent="0.25"/>
    <row r="27" s="504" customFormat="1" ht="15" x14ac:dyDescent="0.25"/>
    <row r="28" s="504" customFormat="1" ht="15" x14ac:dyDescent="0.25"/>
    <row r="29" s="504" customFormat="1" ht="15" x14ac:dyDescent="0.25"/>
    <row r="30" s="504" customFormat="1" ht="15" x14ac:dyDescent="0.25"/>
    <row r="31" s="504" customFormat="1" ht="15" x14ac:dyDescent="0.25"/>
    <row r="32" s="504" customFormat="1" ht="15" x14ac:dyDescent="0.25"/>
    <row r="33" s="504" customFormat="1" ht="15" x14ac:dyDescent="0.25"/>
    <row r="34" s="504" customFormat="1" ht="15" x14ac:dyDescent="0.25"/>
    <row r="35" s="504" customFormat="1" ht="15" x14ac:dyDescent="0.25"/>
    <row r="36" s="504" customFormat="1" ht="15" x14ac:dyDescent="0.25"/>
    <row r="37" s="504" customFormat="1" ht="15" x14ac:dyDescent="0.25"/>
    <row r="38" s="504" customFormat="1" ht="15" x14ac:dyDescent="0.25"/>
    <row r="39" s="504" customFormat="1" ht="15" x14ac:dyDescent="0.25"/>
    <row r="40" s="504" customFormat="1" ht="15" x14ac:dyDescent="0.25"/>
    <row r="41" s="504" customFormat="1" ht="15" x14ac:dyDescent="0.25"/>
    <row r="42" s="504" customFormat="1" ht="15" x14ac:dyDescent="0.25"/>
    <row r="43" s="504" customFormat="1" ht="15" x14ac:dyDescent="0.25"/>
    <row r="44" s="504" customFormat="1" ht="15" x14ac:dyDescent="0.25"/>
    <row r="45" s="504" customFormat="1" ht="15" x14ac:dyDescent="0.25"/>
    <row r="46" s="504" customFormat="1" ht="15" x14ac:dyDescent="0.25"/>
    <row r="47" s="504" customFormat="1" ht="15" x14ac:dyDescent="0.25"/>
    <row r="48" s="504" customFormat="1" ht="15" x14ac:dyDescent="0.25"/>
    <row r="49" s="504" customFormat="1" ht="15" x14ac:dyDescent="0.25"/>
    <row r="50" s="504" customFormat="1" ht="15" x14ac:dyDescent="0.25"/>
    <row r="51" s="504" customFormat="1" ht="15" x14ac:dyDescent="0.25"/>
    <row r="52" s="504" customFormat="1" ht="15" x14ac:dyDescent="0.25"/>
    <row r="53" s="504" customFormat="1" ht="15" x14ac:dyDescent="0.25"/>
    <row r="54" s="504" customFormat="1" ht="15" x14ac:dyDescent="0.25"/>
    <row r="55" s="504" customFormat="1" ht="15" x14ac:dyDescent="0.25"/>
    <row r="56" s="504" customFormat="1" ht="15" x14ac:dyDescent="0.25"/>
    <row r="57" s="504" customFormat="1" ht="15" x14ac:dyDescent="0.25"/>
    <row r="58" s="504" customFormat="1" ht="15" x14ac:dyDescent="0.25"/>
    <row r="59" s="504" customFormat="1" ht="15" x14ac:dyDescent="0.25"/>
    <row r="60" s="504" customFormat="1" ht="15" x14ac:dyDescent="0.25"/>
    <row r="61" s="504" customFormat="1" ht="15" x14ac:dyDescent="0.25"/>
    <row r="62" s="504" customFormat="1" ht="15" x14ac:dyDescent="0.25"/>
    <row r="63" s="504" customFormat="1" x14ac:dyDescent="0.3"/>
    <row r="64" s="504" customFormat="1" x14ac:dyDescent="0.3"/>
    <row r="65" s="504" customFormat="1" x14ac:dyDescent="0.3"/>
    <row r="66" s="504" customFormat="1" x14ac:dyDescent="0.3"/>
    <row r="67" s="504" customFormat="1" x14ac:dyDescent="0.3"/>
    <row r="68" s="504" customFormat="1" x14ac:dyDescent="0.3"/>
    <row r="69" s="504" customFormat="1" x14ac:dyDescent="0.3"/>
    <row r="110" s="504" customFormat="1" x14ac:dyDescent="0.3"/>
    <row r="111" s="504" customFormat="1" x14ac:dyDescent="0.3"/>
    <row r="112" s="504" customFormat="1" x14ac:dyDescent="0.3"/>
    <row r="113" s="504" customFormat="1" x14ac:dyDescent="0.3"/>
    <row r="114" s="504" customFormat="1" x14ac:dyDescent="0.3"/>
    <row r="115" s="504" customFormat="1" x14ac:dyDescent="0.3"/>
    <row r="116" s="504" customFormat="1" x14ac:dyDescent="0.3"/>
    <row r="117" s="504" customFormat="1" x14ac:dyDescent="0.3"/>
    <row r="118" s="504" customFormat="1" x14ac:dyDescent="0.3"/>
    <row r="119" s="504" customFormat="1" x14ac:dyDescent="0.3"/>
    <row r="120" s="504" customFormat="1" x14ac:dyDescent="0.3"/>
    <row r="121" s="504" customFormat="1" x14ac:dyDescent="0.3"/>
    <row r="122" s="504" customFormat="1" x14ac:dyDescent="0.3"/>
    <row r="123" s="504" customFormat="1" x14ac:dyDescent="0.3"/>
    <row r="124" s="504" customFormat="1" x14ac:dyDescent="0.3"/>
    <row r="125" s="504" customFormat="1" x14ac:dyDescent="0.3"/>
    <row r="126" s="504" customFormat="1" x14ac:dyDescent="0.3"/>
    <row r="127" s="504" customFormat="1" x14ac:dyDescent="0.3"/>
    <row r="129" s="504" customFormat="1" x14ac:dyDescent="0.3"/>
    <row r="130" s="504" customFormat="1" x14ac:dyDescent="0.3"/>
    <row r="131" s="504" customFormat="1" x14ac:dyDescent="0.3"/>
    <row r="133" s="504" customFormat="1" x14ac:dyDescent="0.3"/>
    <row r="134" s="504" customFormat="1" x14ac:dyDescent="0.3"/>
    <row r="135" s="504" customFormat="1" x14ac:dyDescent="0.3"/>
    <row r="136" s="504" customFormat="1" x14ac:dyDescent="0.3"/>
    <row r="137" s="504" customFormat="1" x14ac:dyDescent="0.3"/>
    <row r="138" s="504" customFormat="1" x14ac:dyDescent="0.3"/>
    <row r="139" s="504" customFormat="1" x14ac:dyDescent="0.3"/>
    <row r="140" s="504" customFormat="1" x14ac:dyDescent="0.3"/>
    <row r="141" s="504" customFormat="1" x14ac:dyDescent="0.3"/>
    <row r="155" spans="1:4" s="498" customFormat="1" x14ac:dyDescent="0.3"/>
    <row r="156" spans="1:4" x14ac:dyDescent="0.3">
      <c r="A156" t="s">
        <v>710</v>
      </c>
    </row>
    <row r="158" spans="1:4" x14ac:dyDescent="0.3">
      <c r="A158" t="s">
        <v>706</v>
      </c>
      <c r="B158" t="s">
        <v>707</v>
      </c>
      <c r="C158" t="s">
        <v>708</v>
      </c>
      <c r="D158" t="s">
        <v>709</v>
      </c>
    </row>
    <row r="159" spans="1:4" x14ac:dyDescent="0.3">
      <c r="A159" s="499">
        <v>1.1999999999999997</v>
      </c>
      <c r="B159" s="499">
        <v>2.2597810166080361</v>
      </c>
      <c r="C159" s="499">
        <v>0.98129881390186713</v>
      </c>
      <c r="D159" s="499">
        <v>21.171347714231828</v>
      </c>
    </row>
    <row r="160" spans="1:4" x14ac:dyDescent="0.3">
      <c r="A160" s="499">
        <v>1.3999999999999992</v>
      </c>
      <c r="B160" s="499">
        <v>2.6364111860427073</v>
      </c>
      <c r="C160" s="499">
        <v>1.5582661720756477</v>
      </c>
      <c r="D160" s="499">
        <v>15.440099603749093</v>
      </c>
    </row>
    <row r="161" spans="1:4" x14ac:dyDescent="0.3">
      <c r="A161" s="499">
        <v>1.599999999999999</v>
      </c>
      <c r="B161" s="499">
        <v>3.0130413554773803</v>
      </c>
      <c r="C161" s="499">
        <v>2.3260416329525708</v>
      </c>
      <c r="D161" s="499">
        <v>12.224747331457332</v>
      </c>
    </row>
    <row r="162" spans="1:4" x14ac:dyDescent="0.3">
      <c r="A162" s="499">
        <v>1.8</v>
      </c>
      <c r="B162" s="499">
        <v>3.3896715249120541</v>
      </c>
      <c r="C162" s="499">
        <v>3.3118834969188033</v>
      </c>
      <c r="D162" s="499">
        <v>10.282451195544601</v>
      </c>
    </row>
    <row r="163" spans="1:4" x14ac:dyDescent="0.3">
      <c r="A163" s="499">
        <v>2</v>
      </c>
      <c r="B163" s="499">
        <v>3.7663016943467267</v>
      </c>
      <c r="C163" s="499">
        <v>4.5430500643604974</v>
      </c>
      <c r="D163" s="499">
        <v>9.0423186770957038</v>
      </c>
    </row>
    <row r="164" spans="1:4" x14ac:dyDescent="0.3">
      <c r="A164" s="499">
        <v>1.5399722249297996</v>
      </c>
      <c r="B164" s="499">
        <v>2.9000000000000012</v>
      </c>
      <c r="C164" s="499">
        <v>2.0739400557303016</v>
      </c>
      <c r="D164" s="499">
        <v>12.99121986014282</v>
      </c>
    </row>
    <row r="181" s="504" customFormat="1" x14ac:dyDescent="0.3"/>
    <row r="182" s="504" customFormat="1" x14ac:dyDescent="0.3"/>
    <row r="183" s="504" customFormat="1" x14ac:dyDescent="0.3"/>
    <row r="184" s="504" customFormat="1" x14ac:dyDescent="0.3"/>
    <row r="185" s="504" customFormat="1" x14ac:dyDescent="0.3"/>
    <row r="186" s="504" customFormat="1" x14ac:dyDescent="0.3"/>
    <row r="187" s="504" customFormat="1" x14ac:dyDescent="0.3"/>
    <row r="188" s="504" customFormat="1" x14ac:dyDescent="0.3"/>
    <row r="189" s="504" customFormat="1" x14ac:dyDescent="0.3"/>
    <row r="190" s="504" customFormat="1" x14ac:dyDescent="0.3"/>
    <row r="191" s="504" customFormat="1" x14ac:dyDescent="0.3"/>
    <row r="192" s="504" customFormat="1" x14ac:dyDescent="0.3"/>
    <row r="203" s="504" customFormat="1" x14ac:dyDescent="0.3"/>
    <row r="204" s="504" customFormat="1" x14ac:dyDescent="0.3"/>
    <row r="205" s="504" customFormat="1" x14ac:dyDescent="0.3"/>
    <row r="206" s="504" customFormat="1" x14ac:dyDescent="0.3"/>
    <row r="207" s="504" customFormat="1" x14ac:dyDescent="0.3"/>
    <row r="216" spans="1:21" x14ac:dyDescent="0.3">
      <c r="A216" s="500" t="s">
        <v>711</v>
      </c>
      <c r="B216" s="503">
        <v>11.042641236736497</v>
      </c>
      <c r="C216" s="501">
        <v>11.25258455246281</v>
      </c>
      <c r="D216" s="501">
        <v>11.462527868189124</v>
      </c>
      <c r="E216" s="501">
        <v>11.672471183915437</v>
      </c>
      <c r="F216" s="501">
        <v>11.882414499641751</v>
      </c>
      <c r="G216" s="501">
        <v>12.092357815368064</v>
      </c>
      <c r="H216" s="501">
        <v>12.302301131094378</v>
      </c>
      <c r="I216" s="501">
        <v>12.512244446820691</v>
      </c>
      <c r="J216" s="501">
        <v>12.722187762547005</v>
      </c>
      <c r="K216" s="501">
        <v>12.932131078273319</v>
      </c>
      <c r="L216" s="501">
        <v>13.142074393999632</v>
      </c>
      <c r="M216" s="501">
        <v>13.352017709725946</v>
      </c>
      <c r="N216" s="501">
        <v>13.561961025452259</v>
      </c>
      <c r="O216" s="501">
        <v>13.771904341178573</v>
      </c>
      <c r="P216" s="501">
        <v>13.981847656904886</v>
      </c>
      <c r="Q216" s="501">
        <v>14.1917909726312</v>
      </c>
      <c r="R216" s="501">
        <v>14.401734288357513</v>
      </c>
      <c r="S216" s="501">
        <v>14.611677604083827</v>
      </c>
      <c r="T216" s="501">
        <v>14.82162091981014</v>
      </c>
      <c r="U216" s="501">
        <v>15.031564235536454</v>
      </c>
    </row>
    <row r="217" spans="1:21" x14ac:dyDescent="0.3">
      <c r="A217" s="500" t="s">
        <v>695</v>
      </c>
      <c r="B217" s="502">
        <v>0</v>
      </c>
      <c r="C217" s="502">
        <v>0</v>
      </c>
      <c r="D217" s="502">
        <v>0</v>
      </c>
      <c r="E217" s="502">
        <v>0</v>
      </c>
      <c r="F217" s="502">
        <v>4.0000000000000002E-4</v>
      </c>
      <c r="G217" s="502">
        <v>4.7999999999999996E-3</v>
      </c>
      <c r="H217" s="502">
        <v>2.4899999999999999E-2</v>
      </c>
      <c r="I217" s="502">
        <v>8.8999999999999996E-2</v>
      </c>
      <c r="J217" s="502">
        <v>0.21790000000000001</v>
      </c>
      <c r="K217" s="502">
        <v>0.40810000000000002</v>
      </c>
      <c r="L217" s="502">
        <v>0.62270000000000003</v>
      </c>
      <c r="M217" s="502">
        <v>0.80740000000000001</v>
      </c>
      <c r="N217" s="502">
        <v>0.92400000000000004</v>
      </c>
      <c r="O217" s="502">
        <v>0.9778</v>
      </c>
      <c r="P217" s="502">
        <v>0.99639999999999995</v>
      </c>
      <c r="Q217" s="502">
        <v>0.99960000000000004</v>
      </c>
      <c r="R217" s="502">
        <v>1</v>
      </c>
      <c r="S217" s="502">
        <v>1</v>
      </c>
      <c r="T217" s="502">
        <v>1</v>
      </c>
      <c r="U217" s="502">
        <v>1</v>
      </c>
    </row>
    <row r="219" spans="1:21" x14ac:dyDescent="0.3">
      <c r="A219" s="544" t="s">
        <v>712</v>
      </c>
      <c r="B219" s="545"/>
    </row>
    <row r="220" spans="1:21" x14ac:dyDescent="0.3">
      <c r="A220" s="506" t="s">
        <v>695</v>
      </c>
      <c r="B220" s="507" t="s">
        <v>711</v>
      </c>
    </row>
    <row r="221" spans="1:21" x14ac:dyDescent="0.3">
      <c r="A221" s="446">
        <v>0.1</v>
      </c>
      <c r="B221" s="508">
        <v>12.529916763305664</v>
      </c>
    </row>
    <row r="222" spans="1:21" x14ac:dyDescent="0.3">
      <c r="A222" s="446">
        <v>0.5</v>
      </c>
      <c r="B222" s="508">
        <v>13.021783828735352</v>
      </c>
    </row>
    <row r="223" spans="1:21" x14ac:dyDescent="0.3">
      <c r="A223" s="446">
        <v>0.9</v>
      </c>
      <c r="B223" s="508">
        <v>13.518486022949219</v>
      </c>
    </row>
  </sheetData>
  <mergeCells count="1">
    <mergeCell ref="A219:B2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C77"/>
  <sheetViews>
    <sheetView topLeftCell="A10" zoomScale="70" zoomScaleNormal="70" workbookViewId="0">
      <selection activeCell="J15" sqref="J15"/>
    </sheetView>
  </sheetViews>
  <sheetFormatPr defaultColWidth="9.109375" defaultRowHeight="13.2" outlineLevelRow="1" x14ac:dyDescent="0.25"/>
  <cols>
    <col min="1" max="1" width="3" style="241" customWidth="1"/>
    <col min="2" max="2" width="11.44140625" style="241" customWidth="1"/>
    <col min="3" max="3" width="11" style="241" customWidth="1"/>
    <col min="4" max="4" width="9.109375" style="241"/>
    <col min="5" max="5" width="11" style="241" bestFit="1" customWidth="1"/>
    <col min="6" max="6" width="10.6640625" style="241" customWidth="1"/>
    <col min="7" max="7" width="13.88671875" style="241" customWidth="1"/>
    <col min="8" max="8" width="8.33203125" style="241" customWidth="1"/>
    <col min="9" max="9" width="19.5546875" style="299" customWidth="1"/>
    <col min="10" max="10" width="17.109375" style="299" customWidth="1"/>
    <col min="11" max="11" width="14.33203125" style="241" customWidth="1"/>
    <col min="12" max="12" width="12.6640625" style="241" customWidth="1"/>
    <col min="13" max="13" width="3" style="240" customWidth="1"/>
    <col min="14" max="14" width="12.44140625" style="241" bestFit="1" customWidth="1"/>
    <col min="15" max="15" width="9.33203125" style="241" bestFit="1" customWidth="1"/>
    <col min="16" max="16" width="11.44140625" style="241" bestFit="1" customWidth="1"/>
    <col min="17" max="17" width="13.33203125" style="241" customWidth="1"/>
    <col min="18" max="18" width="10.44140625" style="241" customWidth="1"/>
    <col min="19" max="19" width="9" style="241" customWidth="1"/>
    <col min="20" max="20" width="11.44140625" style="241" bestFit="1" customWidth="1"/>
    <col min="21" max="16384" width="9.109375" style="241"/>
  </cols>
  <sheetData>
    <row r="1" spans="1:29" s="239" customFormat="1" ht="15.75" x14ac:dyDescent="0.25">
      <c r="A1" s="296" t="s">
        <v>599</v>
      </c>
      <c r="B1" s="297"/>
      <c r="C1" s="297"/>
      <c r="D1" s="297"/>
      <c r="E1" s="297"/>
      <c r="F1" s="297"/>
      <c r="G1" s="297"/>
      <c r="H1" s="297"/>
      <c r="I1" s="297"/>
      <c r="J1" s="297"/>
      <c r="K1" s="297"/>
      <c r="L1" s="297"/>
      <c r="M1" s="296" t="s">
        <v>628</v>
      </c>
      <c r="N1" s="297"/>
      <c r="O1" s="297"/>
      <c r="P1" s="297"/>
      <c r="Q1" s="297"/>
      <c r="R1" s="297"/>
      <c r="S1" s="297"/>
    </row>
    <row r="2" spans="1:29" ht="12.75" customHeight="1" x14ac:dyDescent="0.2">
      <c r="A2" s="298"/>
      <c r="B2" s="298"/>
      <c r="C2" s="299"/>
      <c r="D2" s="299"/>
      <c r="E2" s="299"/>
      <c r="F2" s="299"/>
      <c r="G2" s="299"/>
      <c r="H2" s="299"/>
      <c r="K2" s="299"/>
      <c r="L2" s="299"/>
      <c r="M2" s="298"/>
      <c r="N2" s="298"/>
      <c r="O2" s="298"/>
      <c r="P2" s="298"/>
      <c r="Q2" s="298"/>
      <c r="R2" s="298"/>
      <c r="S2" s="298"/>
      <c r="T2" s="240"/>
      <c r="X2" s="242"/>
    </row>
    <row r="3" spans="1:29" s="413" customFormat="1" ht="12.75" customHeight="1" x14ac:dyDescent="0.2">
      <c r="A3" s="412" t="s">
        <v>683</v>
      </c>
      <c r="B3" s="412"/>
      <c r="M3" s="412"/>
      <c r="N3" s="412"/>
      <c r="O3" s="412"/>
      <c r="P3" s="412"/>
      <c r="Q3" s="412"/>
      <c r="R3" s="412"/>
      <c r="S3" s="412"/>
      <c r="T3" s="412"/>
      <c r="X3" s="414"/>
    </row>
    <row r="4" spans="1:29" s="413" customFormat="1" ht="12.75" customHeight="1" x14ac:dyDescent="0.2">
      <c r="A4" s="412"/>
      <c r="B4" s="412"/>
      <c r="M4" s="412"/>
      <c r="N4" s="412"/>
      <c r="O4" s="412"/>
      <c r="P4" s="412"/>
      <c r="Q4" s="412"/>
      <c r="R4" s="412"/>
      <c r="S4" s="412"/>
      <c r="T4" s="412"/>
      <c r="X4" s="414"/>
    </row>
    <row r="5" spans="1:29" ht="14.25" x14ac:dyDescent="0.2">
      <c r="A5" s="300" t="s">
        <v>606</v>
      </c>
      <c r="B5" s="301"/>
      <c r="C5" s="298"/>
      <c r="D5" s="298"/>
      <c r="E5" s="298"/>
      <c r="F5" s="302"/>
      <c r="G5" s="302"/>
      <c r="H5" s="298"/>
      <c r="I5" s="298"/>
      <c r="J5" s="298"/>
      <c r="K5" s="298"/>
      <c r="L5" s="299"/>
      <c r="M5" s="300" t="s">
        <v>629</v>
      </c>
      <c r="N5" s="303"/>
      <c r="O5" s="303"/>
      <c r="P5" s="304"/>
      <c r="Q5" s="303"/>
      <c r="R5" s="303"/>
      <c r="S5" s="298"/>
      <c r="T5" s="244"/>
      <c r="U5" s="244"/>
      <c r="X5" s="245"/>
    </row>
    <row r="6" spans="1:29" ht="14.25" outlineLevel="1" x14ac:dyDescent="0.2">
      <c r="A6" s="305"/>
      <c r="B6" s="303" t="s">
        <v>419</v>
      </c>
      <c r="C6" s="303"/>
      <c r="D6" s="303"/>
      <c r="E6" s="303"/>
      <c r="F6" s="306"/>
      <c r="G6" s="307">
        <v>33</v>
      </c>
      <c r="H6" s="298" t="s">
        <v>326</v>
      </c>
      <c r="I6" s="298"/>
      <c r="J6" s="298"/>
      <c r="K6" s="298"/>
      <c r="L6" s="299"/>
      <c r="M6" s="298"/>
      <c r="N6" s="308" t="s">
        <v>600</v>
      </c>
      <c r="O6" s="303"/>
      <c r="P6" s="303"/>
      <c r="Q6" s="357">
        <f>SUMPRODUCT(F21:F51,G21:G51)</f>
        <v>1.5399722249297996</v>
      </c>
      <c r="R6" s="310" t="s">
        <v>601</v>
      </c>
      <c r="S6" s="311"/>
      <c r="T6" s="246"/>
      <c r="U6" s="246"/>
      <c r="V6" s="246"/>
      <c r="W6" s="246"/>
      <c r="X6" s="246"/>
      <c r="Y6" s="246"/>
      <c r="Z6" s="247"/>
      <c r="AA6" s="247"/>
      <c r="AB6" s="240"/>
      <c r="AC6" s="240"/>
    </row>
    <row r="7" spans="1:29" ht="14.25" outlineLevel="1" x14ac:dyDescent="0.2">
      <c r="A7" s="305"/>
      <c r="B7" s="312" t="s">
        <v>607</v>
      </c>
      <c r="C7" s="303"/>
      <c r="D7" s="303"/>
      <c r="E7" s="303"/>
      <c r="F7" s="306"/>
      <c r="G7" s="313">
        <v>4</v>
      </c>
      <c r="H7" s="298"/>
      <c r="I7" s="298"/>
      <c r="J7" s="298"/>
      <c r="K7" s="298"/>
      <c r="L7" s="299"/>
      <c r="M7" s="298"/>
      <c r="N7" s="314" t="s">
        <v>602</v>
      </c>
      <c r="O7" s="314"/>
      <c r="P7" s="314"/>
      <c r="Q7" s="358">
        <f>SUMPRODUCT(G21:G51,I21:I51)/G9</f>
        <v>2.0759653878159763</v>
      </c>
      <c r="R7" s="315" t="s">
        <v>603</v>
      </c>
      <c r="S7" s="311"/>
      <c r="T7" s="246"/>
      <c r="U7" s="246"/>
      <c r="V7" s="248"/>
      <c r="W7" s="246"/>
      <c r="X7" s="246"/>
      <c r="Y7" s="246"/>
      <c r="Z7" s="247"/>
      <c r="AA7" s="247"/>
      <c r="AB7" s="240"/>
      <c r="AC7" s="240"/>
    </row>
    <row r="8" spans="1:29" ht="12.75" outlineLevel="1" x14ac:dyDescent="0.2">
      <c r="A8" s="298"/>
      <c r="B8" s="316" t="s">
        <v>608</v>
      </c>
      <c r="C8" s="317"/>
      <c r="D8" s="317"/>
      <c r="E8" s="317"/>
      <c r="F8" s="306"/>
      <c r="G8" s="313">
        <v>50</v>
      </c>
      <c r="H8" s="298" t="s">
        <v>326</v>
      </c>
      <c r="I8" s="298"/>
      <c r="J8" s="298"/>
      <c r="K8" s="298"/>
      <c r="L8" s="299"/>
      <c r="M8" s="298"/>
      <c r="N8" s="308" t="s">
        <v>604</v>
      </c>
      <c r="O8" s="303"/>
      <c r="P8" s="303"/>
      <c r="Q8" s="357">
        <f ca="1">OFFSET(F20,MATCH(MAX(I21:I51),I21:I51,0),0)</f>
        <v>2.9000000000000012</v>
      </c>
      <c r="R8" s="310" t="s">
        <v>601</v>
      </c>
      <c r="S8" s="298"/>
      <c r="T8" s="240"/>
      <c r="U8" s="240"/>
      <c r="V8" s="240"/>
      <c r="W8" s="240"/>
      <c r="X8" s="249"/>
      <c r="Y8" s="240"/>
      <c r="Z8" s="240"/>
      <c r="AA8" s="240"/>
      <c r="AB8" s="240"/>
      <c r="AC8" s="240"/>
    </row>
    <row r="9" spans="1:29" ht="12.75" outlineLevel="1" x14ac:dyDescent="0.2">
      <c r="A9" s="298"/>
      <c r="B9" s="316" t="s">
        <v>619</v>
      </c>
      <c r="C9" s="316"/>
      <c r="D9" s="316"/>
      <c r="E9" s="316"/>
      <c r="F9" s="318"/>
      <c r="G9" s="513">
        <f>(G6/2)^2*PI()*G7</f>
        <v>3421.1943997592848</v>
      </c>
      <c r="H9" s="318" t="s">
        <v>418</v>
      </c>
      <c r="I9" s="318"/>
      <c r="J9" s="318"/>
      <c r="K9" s="298"/>
      <c r="L9" s="299"/>
      <c r="M9" s="298"/>
      <c r="N9" s="314" t="s">
        <v>605</v>
      </c>
      <c r="O9" s="317"/>
      <c r="P9" s="317"/>
      <c r="Q9" s="357">
        <f>MAX(I21:I51)/G9</f>
        <v>12.499362500000016</v>
      </c>
      <c r="R9" s="315" t="s">
        <v>603</v>
      </c>
      <c r="S9" s="298"/>
      <c r="T9" s="240"/>
      <c r="U9" s="240"/>
      <c r="V9" s="240"/>
      <c r="W9" s="240"/>
      <c r="X9" s="249"/>
      <c r="Y9" s="240"/>
      <c r="Z9" s="240"/>
      <c r="AA9" s="240"/>
      <c r="AB9" s="240"/>
      <c r="AC9" s="240"/>
    </row>
    <row r="10" spans="1:29" ht="12.75" outlineLevel="1" x14ac:dyDescent="0.2">
      <c r="A10" s="298"/>
      <c r="B10" s="316" t="s">
        <v>609</v>
      </c>
      <c r="C10" s="316"/>
      <c r="D10" s="316"/>
      <c r="E10" s="316"/>
      <c r="F10" s="318"/>
      <c r="G10" s="319">
        <v>0.96</v>
      </c>
      <c r="H10" s="318"/>
      <c r="I10" s="318"/>
      <c r="J10" s="318"/>
      <c r="K10" s="298"/>
      <c r="L10" s="299"/>
      <c r="M10" s="298"/>
      <c r="N10" s="320"/>
      <c r="O10" s="321"/>
      <c r="P10" s="321"/>
      <c r="Q10" s="322"/>
      <c r="R10" s="320"/>
      <c r="S10" s="298"/>
      <c r="T10" s="240"/>
      <c r="U10" s="240"/>
      <c r="V10" s="240"/>
      <c r="W10" s="240"/>
      <c r="X10" s="249"/>
      <c r="Y10" s="240"/>
      <c r="Z10" s="240"/>
      <c r="AA10" s="240"/>
      <c r="AB10" s="240"/>
      <c r="AC10" s="240"/>
    </row>
    <row r="11" spans="1:29" ht="12.75" outlineLevel="1" x14ac:dyDescent="0.2">
      <c r="A11" s="298"/>
      <c r="B11" s="316" t="s">
        <v>610</v>
      </c>
      <c r="C11" s="316"/>
      <c r="D11" s="316"/>
      <c r="E11" s="316"/>
      <c r="F11" s="318"/>
      <c r="G11" s="319">
        <v>0.98</v>
      </c>
      <c r="H11" s="318"/>
      <c r="I11" s="318"/>
      <c r="J11" s="318"/>
      <c r="K11" s="298"/>
      <c r="L11" s="299"/>
      <c r="M11" s="300" t="s">
        <v>611</v>
      </c>
      <c r="N11" s="298"/>
      <c r="O11" s="298"/>
      <c r="P11" s="298"/>
      <c r="Q11" s="323"/>
      <c r="R11" s="324"/>
      <c r="S11" s="311"/>
      <c r="T11" s="240"/>
      <c r="U11" s="240"/>
      <c r="V11" s="240"/>
      <c r="W11" s="240"/>
      <c r="X11" s="249"/>
      <c r="Y11" s="240"/>
      <c r="Z11" s="240"/>
      <c r="AA11" s="240"/>
      <c r="AB11" s="240"/>
      <c r="AC11" s="240"/>
    </row>
    <row r="12" spans="1:29" ht="12.75" outlineLevel="1" x14ac:dyDescent="0.2">
      <c r="A12" s="298"/>
      <c r="B12" s="318" t="s">
        <v>630</v>
      </c>
      <c r="C12" s="318"/>
      <c r="D12" s="318"/>
      <c r="E12" s="318"/>
      <c r="F12" s="318"/>
      <c r="G12" s="361">
        <v>4</v>
      </c>
      <c r="H12" s="318" t="s">
        <v>347</v>
      </c>
      <c r="I12" s="318"/>
      <c r="J12" s="318"/>
      <c r="K12" s="298"/>
      <c r="L12" s="299"/>
      <c r="M12" s="299"/>
      <c r="N12" s="325" t="s">
        <v>612</v>
      </c>
      <c r="O12" s="317"/>
      <c r="P12" s="326"/>
      <c r="Q12" s="327">
        <f>SUMPRODUCT(G21:G51,J21:J51)/1000</f>
        <v>2.9794545150771263</v>
      </c>
      <c r="R12" s="309" t="s">
        <v>347</v>
      </c>
      <c r="S12" s="328"/>
      <c r="T12" s="240"/>
      <c r="U12" s="240"/>
      <c r="V12" s="240"/>
      <c r="W12" s="240"/>
      <c r="X12" s="249"/>
      <c r="Y12" s="240"/>
      <c r="Z12" s="240"/>
      <c r="AA12" s="240"/>
      <c r="AB12" s="240"/>
      <c r="AC12" s="240"/>
    </row>
    <row r="13" spans="1:29" ht="12.75" outlineLevel="1" x14ac:dyDescent="0.2">
      <c r="A13" s="298"/>
      <c r="B13" s="318"/>
      <c r="C13" s="318"/>
      <c r="D13" s="318"/>
      <c r="E13" s="318"/>
      <c r="F13" s="318"/>
      <c r="G13" s="329"/>
      <c r="H13" s="318"/>
      <c r="I13" s="318"/>
      <c r="J13" s="318"/>
      <c r="K13" s="298"/>
      <c r="L13" s="299"/>
      <c r="M13" s="298"/>
      <c r="N13" s="330" t="s">
        <v>613</v>
      </c>
      <c r="O13" s="317"/>
      <c r="P13" s="326"/>
      <c r="Q13" s="327">
        <f>SUMPRODUCT(G21:G51,K21:K51)/1000</f>
        <v>2.8030708077845605</v>
      </c>
      <c r="R13" s="309" t="s">
        <v>347</v>
      </c>
      <c r="S13" s="298"/>
      <c r="T13" s="240"/>
      <c r="U13" s="240"/>
      <c r="V13" s="240"/>
      <c r="W13" s="240"/>
      <c r="X13" s="249"/>
      <c r="Y13" s="240"/>
      <c r="Z13" s="240"/>
      <c r="AA13" s="240"/>
      <c r="AB13" s="240"/>
      <c r="AC13" s="240"/>
    </row>
    <row r="14" spans="1:29" ht="12.75" outlineLevel="1" x14ac:dyDescent="0.2">
      <c r="A14" s="300" t="s">
        <v>616</v>
      </c>
      <c r="B14" s="303"/>
      <c r="C14" s="303"/>
      <c r="D14" s="303"/>
      <c r="E14" s="303"/>
      <c r="F14" s="302"/>
      <c r="G14" s="302">
        <v>0</v>
      </c>
      <c r="H14" s="298"/>
      <c r="I14" s="298"/>
      <c r="J14" s="298"/>
      <c r="K14" s="298"/>
      <c r="L14" s="299"/>
      <c r="M14" s="298"/>
      <c r="N14" s="330" t="s">
        <v>614</v>
      </c>
      <c r="O14" s="317"/>
      <c r="P14" s="326"/>
      <c r="Q14" s="327">
        <f>G12</f>
        <v>4</v>
      </c>
      <c r="R14" s="309" t="s">
        <v>347</v>
      </c>
      <c r="S14" s="298"/>
      <c r="U14" s="243"/>
      <c r="V14" s="240"/>
      <c r="W14" s="240"/>
      <c r="X14" s="249"/>
      <c r="Y14" s="240"/>
      <c r="Z14" s="240"/>
      <c r="AA14" s="240"/>
      <c r="AB14" s="240"/>
      <c r="AC14" s="240"/>
    </row>
    <row r="15" spans="1:29" ht="12.75" outlineLevel="1" x14ac:dyDescent="0.2">
      <c r="A15" s="298"/>
      <c r="B15" s="317" t="s">
        <v>618</v>
      </c>
      <c r="C15" s="317"/>
      <c r="D15" s="317"/>
      <c r="E15" s="317"/>
      <c r="F15" s="306"/>
      <c r="G15" s="255">
        <v>0.95</v>
      </c>
      <c r="H15" s="298"/>
      <c r="I15" s="298"/>
      <c r="J15" s="298"/>
      <c r="K15" s="318"/>
      <c r="L15" s="299"/>
      <c r="M15" s="298"/>
      <c r="N15" s="330" t="s">
        <v>615</v>
      </c>
      <c r="O15" s="317"/>
      <c r="P15" s="326"/>
      <c r="Q15" s="331">
        <f>Q13/Q14</f>
        <v>0.70076770194614013</v>
      </c>
      <c r="R15" s="309"/>
      <c r="S15" s="298"/>
      <c r="U15" s="240"/>
      <c r="V15" s="240"/>
      <c r="W15" s="252"/>
      <c r="X15" s="245"/>
      <c r="Y15" s="240"/>
      <c r="Z15" s="240"/>
      <c r="AA15" s="240"/>
      <c r="AB15" s="240"/>
    </row>
    <row r="16" spans="1:29" ht="12.75" outlineLevel="1" x14ac:dyDescent="0.2">
      <c r="A16" s="298"/>
      <c r="B16" s="332" t="s">
        <v>549</v>
      </c>
      <c r="C16" s="321"/>
      <c r="D16" s="321"/>
      <c r="E16" s="321"/>
      <c r="F16" s="306"/>
      <c r="G16" s="255">
        <v>0.98</v>
      </c>
      <c r="H16" s="298"/>
      <c r="I16" s="298"/>
      <c r="J16" s="298"/>
      <c r="K16" s="298"/>
      <c r="L16" s="299"/>
      <c r="M16" s="298"/>
      <c r="N16" s="330" t="s">
        <v>550</v>
      </c>
      <c r="O16" s="317"/>
      <c r="P16" s="326"/>
      <c r="Q16" s="333">
        <f>SUM(L21:L51)/1000</f>
        <v>22860.612157135449</v>
      </c>
      <c r="R16" s="334" t="s">
        <v>627</v>
      </c>
      <c r="S16" s="298"/>
      <c r="U16" s="240"/>
      <c r="V16" s="240"/>
      <c r="W16" s="252"/>
      <c r="X16" s="245"/>
      <c r="Y16" s="240"/>
      <c r="Z16" s="240"/>
      <c r="AA16" s="240"/>
      <c r="AB16" s="240"/>
    </row>
    <row r="17" spans="1:28" ht="12.75" outlineLevel="1" x14ac:dyDescent="0.2">
      <c r="A17" s="298"/>
      <c r="B17" s="318"/>
      <c r="C17" s="318"/>
      <c r="D17" s="318"/>
      <c r="E17" s="318"/>
      <c r="F17" s="335"/>
      <c r="G17" s="335"/>
      <c r="H17" s="318"/>
      <c r="I17" s="318"/>
      <c r="J17" s="318"/>
      <c r="K17" s="298"/>
      <c r="L17" s="299"/>
      <c r="M17" s="298"/>
      <c r="N17" s="330" t="s">
        <v>617</v>
      </c>
      <c r="O17" s="317"/>
      <c r="P17" s="326"/>
      <c r="Q17" s="336">
        <f>Q13/1.3*1000</f>
        <v>2156.2083136804313</v>
      </c>
      <c r="R17" s="337"/>
      <c r="S17" s="298"/>
      <c r="U17" s="240"/>
      <c r="V17" s="240"/>
      <c r="W17" s="252"/>
      <c r="X17" s="245"/>
      <c r="Y17" s="240"/>
      <c r="Z17" s="240"/>
      <c r="AA17" s="240"/>
      <c r="AB17" s="240"/>
    </row>
    <row r="18" spans="1:28" ht="14.25" x14ac:dyDescent="0.2">
      <c r="A18" s="300" t="s">
        <v>548</v>
      </c>
      <c r="B18" s="338"/>
      <c r="C18" s="318"/>
      <c r="D18" s="318"/>
      <c r="E18" s="318"/>
      <c r="F18" s="335"/>
      <c r="G18" s="335"/>
      <c r="H18" s="318"/>
      <c r="I18" s="318"/>
      <c r="J18" s="318"/>
      <c r="K18" s="298"/>
      <c r="L18" s="299"/>
      <c r="M18" s="298"/>
      <c r="N18" s="298"/>
      <c r="O18" s="298"/>
      <c r="P18" s="298"/>
      <c r="Q18" s="339"/>
      <c r="R18" s="339"/>
      <c r="S18" s="298"/>
      <c r="U18" s="240"/>
      <c r="V18" s="240"/>
      <c r="W18" s="240"/>
      <c r="X18" s="245"/>
      <c r="Y18" s="252"/>
      <c r="Z18" s="240"/>
      <c r="AA18" s="240"/>
      <c r="AB18" s="240"/>
    </row>
    <row r="19" spans="1:28" ht="12.75" outlineLevel="1" x14ac:dyDescent="0.2">
      <c r="A19" s="298"/>
      <c r="F19" s="340" t="s">
        <v>620</v>
      </c>
      <c r="G19" s="341" t="s">
        <v>621</v>
      </c>
      <c r="H19" s="342" t="s">
        <v>622</v>
      </c>
      <c r="I19" s="342" t="s">
        <v>623</v>
      </c>
      <c r="J19" s="343" t="s">
        <v>624</v>
      </c>
      <c r="K19" s="342" t="s">
        <v>625</v>
      </c>
      <c r="L19" s="342" t="s">
        <v>626</v>
      </c>
      <c r="M19" s="298"/>
      <c r="N19" s="299"/>
      <c r="O19" s="299"/>
      <c r="P19" s="299"/>
      <c r="Q19" s="299"/>
      <c r="R19" s="299"/>
      <c r="S19" s="299"/>
      <c r="U19" s="240"/>
      <c r="V19" s="240"/>
      <c r="W19" s="240"/>
      <c r="X19" s="245"/>
      <c r="Y19" s="252"/>
      <c r="Z19" s="240"/>
      <c r="AA19" s="240"/>
      <c r="AB19" s="240"/>
    </row>
    <row r="20" spans="1:28" ht="12.75" outlineLevel="1" x14ac:dyDescent="0.2">
      <c r="A20" s="299"/>
      <c r="F20" s="344" t="s">
        <v>601</v>
      </c>
      <c r="G20" s="345" t="s">
        <v>660</v>
      </c>
      <c r="H20" s="346"/>
      <c r="I20" s="346" t="s">
        <v>417</v>
      </c>
      <c r="J20" s="304" t="s">
        <v>417</v>
      </c>
      <c r="K20" s="346" t="s">
        <v>417</v>
      </c>
      <c r="L20" s="346" t="s">
        <v>661</v>
      </c>
      <c r="M20" s="298"/>
      <c r="N20" s="299"/>
      <c r="O20" s="299"/>
      <c r="P20" s="299"/>
      <c r="Q20" s="299"/>
      <c r="R20" s="299"/>
      <c r="S20" s="298"/>
      <c r="V20" s="240"/>
      <c r="W20" s="240"/>
      <c r="X20" s="245"/>
      <c r="Y20" s="240"/>
      <c r="Z20" s="240"/>
    </row>
    <row r="21" spans="1:28" ht="12.75" outlineLevel="1" x14ac:dyDescent="0.2">
      <c r="A21" s="299"/>
      <c r="F21" s="347">
        <v>0</v>
      </c>
      <c r="G21" s="348">
        <v>0</v>
      </c>
      <c r="H21" s="349">
        <v>0</v>
      </c>
      <c r="I21" s="334">
        <f>IF(G21&gt;0,0.5*F21^3*1025/1000*$G$9,0)</f>
        <v>0</v>
      </c>
      <c r="J21" s="334">
        <f>I21*H21</f>
        <v>0</v>
      </c>
      <c r="K21" s="334">
        <f>J21*$G$10*$G$11</f>
        <v>0</v>
      </c>
      <c r="L21" s="334">
        <f>K21*G21*24*365*$G$16*$G$15</f>
        <v>0</v>
      </c>
      <c r="M21" s="298"/>
      <c r="N21" s="299"/>
      <c r="O21" s="299"/>
      <c r="P21" s="299"/>
      <c r="Q21" s="299"/>
      <c r="R21" s="299"/>
      <c r="S21" s="350"/>
      <c r="V21" s="240"/>
      <c r="W21" s="240"/>
      <c r="X21" s="245"/>
      <c r="Y21" s="240"/>
      <c r="Z21" s="240"/>
    </row>
    <row r="22" spans="1:28" ht="15" outlineLevel="1" x14ac:dyDescent="0.25">
      <c r="A22" s="299"/>
      <c r="F22" s="351">
        <v>0.1</v>
      </c>
      <c r="G22" s="348">
        <v>0</v>
      </c>
      <c r="H22" s="349">
        <v>0</v>
      </c>
      <c r="I22" s="514">
        <f t="shared" ref="I22:I51" si="0">IF(G22&gt;0,0.5*F22^3*1025/1000*$G$9,0)</f>
        <v>0</v>
      </c>
      <c r="J22" s="334">
        <f t="shared" ref="J22:J51" si="1">I22*H22</f>
        <v>0</v>
      </c>
      <c r="K22" s="514">
        <f t="shared" ref="K22:K51" si="2">J22*$G$10*$G$11</f>
        <v>0</v>
      </c>
      <c r="L22" s="334">
        <f t="shared" ref="L22:L51" si="3">K22*G22*24*365*$G$16*$G$15</f>
        <v>0</v>
      </c>
      <c r="M22" s="298"/>
      <c r="N22" s="299"/>
      <c r="O22" s="299"/>
      <c r="P22" s="299"/>
      <c r="Q22" s="299"/>
      <c r="R22" s="299"/>
      <c r="S22" s="352"/>
      <c r="V22" s="240"/>
      <c r="W22" s="240"/>
      <c r="X22" s="245"/>
      <c r="Y22" s="240"/>
      <c r="Z22" s="240"/>
    </row>
    <row r="23" spans="1:28" ht="15" outlineLevel="1" x14ac:dyDescent="0.25">
      <c r="A23" s="299"/>
      <c r="F23" s="351">
        <v>0.2</v>
      </c>
      <c r="G23" s="348">
        <v>0</v>
      </c>
      <c r="H23" s="349">
        <v>0</v>
      </c>
      <c r="I23" s="514">
        <f t="shared" si="0"/>
        <v>0</v>
      </c>
      <c r="J23" s="334">
        <f t="shared" si="1"/>
        <v>0</v>
      </c>
      <c r="K23" s="514">
        <f t="shared" si="2"/>
        <v>0</v>
      </c>
      <c r="L23" s="334">
        <f t="shared" si="3"/>
        <v>0</v>
      </c>
      <c r="M23" s="298"/>
      <c r="N23" s="299"/>
      <c r="O23" s="299"/>
      <c r="P23" s="299"/>
      <c r="Q23" s="299"/>
      <c r="R23" s="299"/>
      <c r="S23" s="353"/>
      <c r="V23" s="240"/>
      <c r="W23" s="240"/>
      <c r="X23" s="245"/>
      <c r="Y23" s="240"/>
      <c r="Z23" s="240"/>
    </row>
    <row r="24" spans="1:28" ht="12.75" outlineLevel="1" x14ac:dyDescent="0.2">
      <c r="A24" s="299"/>
      <c r="F24" s="351">
        <v>0.30000000000000004</v>
      </c>
      <c r="G24" s="348">
        <v>0</v>
      </c>
      <c r="H24" s="349">
        <v>0</v>
      </c>
      <c r="I24" s="514">
        <f t="shared" si="0"/>
        <v>0</v>
      </c>
      <c r="J24" s="334">
        <f t="shared" si="1"/>
        <v>0</v>
      </c>
      <c r="K24" s="514">
        <f t="shared" si="2"/>
        <v>0</v>
      </c>
      <c r="L24" s="334">
        <f t="shared" si="3"/>
        <v>0</v>
      </c>
      <c r="M24" s="298"/>
      <c r="N24" s="299"/>
      <c r="O24" s="299"/>
      <c r="P24" s="299"/>
      <c r="Q24" s="299"/>
      <c r="R24" s="299"/>
      <c r="S24" s="354"/>
      <c r="U24" s="253"/>
      <c r="V24" s="240"/>
      <c r="W24" s="240"/>
      <c r="Y24" s="240"/>
      <c r="Z24" s="240"/>
    </row>
    <row r="25" spans="1:28" ht="12.75" outlineLevel="1" x14ac:dyDescent="0.2">
      <c r="A25" s="299"/>
      <c r="F25" s="351">
        <v>0.4</v>
      </c>
      <c r="G25" s="348">
        <v>0</v>
      </c>
      <c r="H25" s="349">
        <v>0</v>
      </c>
      <c r="I25" s="514">
        <f t="shared" si="0"/>
        <v>0</v>
      </c>
      <c r="J25" s="334">
        <f t="shared" si="1"/>
        <v>0</v>
      </c>
      <c r="K25" s="514">
        <f t="shared" si="2"/>
        <v>0</v>
      </c>
      <c r="L25" s="334">
        <f t="shared" si="3"/>
        <v>0</v>
      </c>
      <c r="M25" s="298"/>
      <c r="N25" s="299"/>
      <c r="O25" s="299"/>
      <c r="P25" s="299"/>
      <c r="Q25" s="299"/>
      <c r="R25" s="299"/>
      <c r="S25" s="355"/>
      <c r="U25" s="254"/>
      <c r="V25" s="240"/>
      <c r="W25" s="240"/>
      <c r="X25" s="245"/>
      <c r="Y25" s="240"/>
      <c r="Z25" s="240"/>
    </row>
    <row r="26" spans="1:28" ht="12.75" outlineLevel="1" x14ac:dyDescent="0.2">
      <c r="A26" s="299"/>
      <c r="F26" s="351">
        <v>0.5</v>
      </c>
      <c r="G26" s="348">
        <v>2.3650576907267786E-3</v>
      </c>
      <c r="H26" s="349">
        <v>0.483367622</v>
      </c>
      <c r="I26" s="514">
        <f t="shared" si="0"/>
        <v>219.17026623457917</v>
      </c>
      <c r="J26" s="334">
        <f t="shared" si="1"/>
        <v>105.93981040291543</v>
      </c>
      <c r="K26" s="514">
        <f t="shared" si="2"/>
        <v>99.668173627062828</v>
      </c>
      <c r="L26" s="334">
        <f t="shared" si="3"/>
        <v>1922.4366001945205</v>
      </c>
      <c r="M26" s="298"/>
      <c r="N26" s="299"/>
      <c r="O26" s="299"/>
      <c r="P26" s="299"/>
      <c r="Q26" s="299"/>
      <c r="R26" s="299"/>
      <c r="S26" s="299"/>
      <c r="U26" s="251"/>
      <c r="X26" s="245"/>
    </row>
    <row r="27" spans="1:28" ht="12.75" outlineLevel="1" x14ac:dyDescent="0.2">
      <c r="A27" s="299"/>
      <c r="F27" s="351">
        <v>0.6</v>
      </c>
      <c r="G27" s="348">
        <v>4.5304839803816596E-3</v>
      </c>
      <c r="H27" s="349">
        <v>0.48383542899999998</v>
      </c>
      <c r="I27" s="514">
        <f t="shared" si="0"/>
        <v>378.72622005335285</v>
      </c>
      <c r="J27" s="334">
        <f t="shared" si="1"/>
        <v>183.24116315306236</v>
      </c>
      <c r="K27" s="514">
        <f t="shared" si="2"/>
        <v>172.39328629440107</v>
      </c>
      <c r="L27" s="334">
        <f t="shared" si="3"/>
        <v>6369.6964274610491</v>
      </c>
      <c r="M27" s="298"/>
      <c r="N27" s="299"/>
      <c r="O27" s="299"/>
      <c r="P27" s="299"/>
      <c r="Q27" s="299"/>
      <c r="R27" s="299"/>
      <c r="S27" s="299"/>
      <c r="T27" s="240"/>
      <c r="U27" s="240"/>
      <c r="X27" s="245"/>
    </row>
    <row r="28" spans="1:28" ht="12.75" outlineLevel="1" x14ac:dyDescent="0.2">
      <c r="A28" s="299"/>
      <c r="F28" s="351">
        <v>0.7</v>
      </c>
      <c r="G28" s="348">
        <v>4.5076998909191913E-3</v>
      </c>
      <c r="H28" s="349">
        <v>0.484309822</v>
      </c>
      <c r="I28" s="514">
        <f t="shared" si="0"/>
        <v>601.40321054768515</v>
      </c>
      <c r="J28" s="334">
        <f t="shared" si="1"/>
        <v>291.26548185057794</v>
      </c>
      <c r="K28" s="514">
        <f t="shared" si="2"/>
        <v>274.02256532502372</v>
      </c>
      <c r="L28" s="334">
        <f t="shared" si="3"/>
        <v>10073.84140164611</v>
      </c>
      <c r="M28" s="298"/>
      <c r="N28" s="299"/>
      <c r="O28" s="299"/>
      <c r="P28" s="299"/>
      <c r="Q28" s="299"/>
      <c r="R28" s="299"/>
      <c r="S28" s="299"/>
      <c r="T28" s="240"/>
    </row>
    <row r="29" spans="1:28" ht="12.75" outlineLevel="1" x14ac:dyDescent="0.2">
      <c r="A29" s="299"/>
      <c r="F29" s="351">
        <v>0.79999999999999993</v>
      </c>
      <c r="G29" s="348">
        <v>1.3578325197018506E-2</v>
      </c>
      <c r="H29" s="349">
        <v>0.48468652400000001</v>
      </c>
      <c r="I29" s="514">
        <f t="shared" si="0"/>
        <v>897.72141049683603</v>
      </c>
      <c r="J29" s="334">
        <f t="shared" si="1"/>
        <v>435.11346997408856</v>
      </c>
      <c r="K29" s="514">
        <f t="shared" si="2"/>
        <v>409.35475255162248</v>
      </c>
      <c r="L29" s="334">
        <f t="shared" si="3"/>
        <v>45331.472838239482</v>
      </c>
      <c r="M29" s="298"/>
      <c r="N29" s="299"/>
      <c r="O29" s="299"/>
      <c r="P29" s="299"/>
      <c r="Q29" s="299"/>
      <c r="R29" s="299"/>
      <c r="S29" s="299"/>
      <c r="T29" s="240"/>
    </row>
    <row r="30" spans="1:28" ht="12.75" outlineLevel="1" x14ac:dyDescent="0.2">
      <c r="A30" s="299"/>
      <c r="F30" s="351">
        <v>0.89999999999999991</v>
      </c>
      <c r="G30" s="348">
        <v>1.8739470799581871E-2</v>
      </c>
      <c r="H30" s="349">
        <v>0.48500341200000002</v>
      </c>
      <c r="I30" s="514">
        <f t="shared" si="0"/>
        <v>1278.2009926800654</v>
      </c>
      <c r="J30" s="334">
        <f t="shared" si="1"/>
        <v>619.93184267161871</v>
      </c>
      <c r="K30" s="514">
        <f t="shared" si="2"/>
        <v>583.23187758545885</v>
      </c>
      <c r="L30" s="334">
        <f t="shared" si="3"/>
        <v>89135.840205564877</v>
      </c>
      <c r="M30" s="298"/>
      <c r="N30" s="299"/>
      <c r="O30" s="299"/>
      <c r="P30" s="299"/>
      <c r="Q30" s="299"/>
      <c r="R30" s="299"/>
      <c r="S30" s="299"/>
      <c r="T30" s="240"/>
    </row>
    <row r="31" spans="1:28" ht="12.75" outlineLevel="1" x14ac:dyDescent="0.2">
      <c r="A31" s="299"/>
      <c r="F31" s="351">
        <v>0.99999999999999989</v>
      </c>
      <c r="G31" s="348">
        <v>2.6459418802319001E-2</v>
      </c>
      <c r="H31" s="349">
        <v>0.48522362099999999</v>
      </c>
      <c r="I31" s="514">
        <f t="shared" si="0"/>
        <v>1753.3621298766325</v>
      </c>
      <c r="J31" s="334">
        <f t="shared" si="1"/>
        <v>850.77272158301184</v>
      </c>
      <c r="K31" s="514">
        <f t="shared" si="2"/>
        <v>800.40697646529748</v>
      </c>
      <c r="L31" s="334">
        <f t="shared" si="3"/>
        <v>172720.92409805296</v>
      </c>
      <c r="M31" s="298"/>
      <c r="N31" s="299"/>
      <c r="O31" s="299"/>
      <c r="P31" s="299"/>
      <c r="Q31" s="299"/>
      <c r="R31" s="299"/>
      <c r="S31" s="299"/>
      <c r="T31" s="240"/>
    </row>
    <row r="32" spans="1:28" ht="12.75" outlineLevel="1" x14ac:dyDescent="0.2">
      <c r="A32" s="299"/>
      <c r="F32" s="351">
        <v>1.0999999999999999</v>
      </c>
      <c r="G32" s="348">
        <v>3.8092552990841487E-2</v>
      </c>
      <c r="H32" s="349">
        <v>0.48533388999999999</v>
      </c>
      <c r="I32" s="514">
        <f t="shared" si="0"/>
        <v>2333.7249948657982</v>
      </c>
      <c r="J32" s="334">
        <f t="shared" si="1"/>
        <v>1132.6358299484477</v>
      </c>
      <c r="K32" s="514">
        <f t="shared" si="2"/>
        <v>1065.5837888154997</v>
      </c>
      <c r="L32" s="334">
        <f t="shared" si="3"/>
        <v>331040.76146092947</v>
      </c>
      <c r="M32" s="298"/>
      <c r="N32" s="299"/>
      <c r="O32" s="299"/>
      <c r="P32" s="299"/>
      <c r="Q32" s="299"/>
      <c r="R32" s="299"/>
      <c r="S32" s="299"/>
    </row>
    <row r="33" spans="1:19" ht="12.75" outlineLevel="1" x14ac:dyDescent="0.2">
      <c r="A33" s="299"/>
      <c r="F33" s="351">
        <v>1.2</v>
      </c>
      <c r="G33" s="348">
        <v>4.9622502647681199E-2</v>
      </c>
      <c r="H33" s="349">
        <v>0.48536971200000001</v>
      </c>
      <c r="I33" s="514">
        <f t="shared" si="0"/>
        <v>3029.8097604268228</v>
      </c>
      <c r="J33" s="334">
        <f t="shared" si="1"/>
        <v>1470.5778908331561</v>
      </c>
      <c r="K33" s="514">
        <f t="shared" si="2"/>
        <v>1383.519679695833</v>
      </c>
      <c r="L33" s="334">
        <f t="shared" si="3"/>
        <v>559909.44271779445</v>
      </c>
      <c r="M33" s="298"/>
      <c r="N33" s="299"/>
      <c r="O33" s="299"/>
      <c r="P33" s="299"/>
      <c r="Q33" s="299"/>
      <c r="R33" s="299"/>
      <c r="S33" s="299"/>
    </row>
    <row r="34" spans="1:19" ht="12.75" outlineLevel="1" x14ac:dyDescent="0.2">
      <c r="A34" s="299"/>
      <c r="F34" s="351">
        <v>1.3</v>
      </c>
      <c r="G34" s="348">
        <v>6.864914712397599E-2</v>
      </c>
      <c r="H34" s="349">
        <v>0.48527166199999999</v>
      </c>
      <c r="I34" s="514">
        <f t="shared" si="0"/>
        <v>3852.136599338965</v>
      </c>
      <c r="J34" s="334">
        <f t="shared" si="1"/>
        <v>1869.3327298122476</v>
      </c>
      <c r="K34" s="514">
        <f t="shared" si="2"/>
        <v>1758.6682322073625</v>
      </c>
      <c r="L34" s="334">
        <f t="shared" si="3"/>
        <v>984629.51962542383</v>
      </c>
      <c r="M34" s="298"/>
      <c r="N34" s="299"/>
      <c r="O34" s="299"/>
      <c r="P34" s="299"/>
      <c r="Q34" s="299"/>
      <c r="R34" s="299"/>
      <c r="S34" s="299"/>
    </row>
    <row r="35" spans="1:19" ht="12.75" outlineLevel="1" x14ac:dyDescent="0.2">
      <c r="A35" s="299"/>
      <c r="F35" s="351">
        <v>1.4000000000000001</v>
      </c>
      <c r="G35" s="348">
        <v>0.10521048948161832</v>
      </c>
      <c r="H35" s="349">
        <v>0.48508346099999999</v>
      </c>
      <c r="I35" s="514">
        <f t="shared" si="0"/>
        <v>4811.225684381483</v>
      </c>
      <c r="J35" s="334">
        <f t="shared" si="1"/>
        <v>2333.8460066318635</v>
      </c>
      <c r="K35" s="514">
        <f t="shared" si="2"/>
        <v>2195.682323039257</v>
      </c>
      <c r="L35" s="334">
        <f t="shared" si="3"/>
        <v>1884006.2264121997</v>
      </c>
      <c r="M35" s="298"/>
      <c r="N35" s="299"/>
      <c r="O35" s="299"/>
      <c r="P35" s="299"/>
      <c r="Q35" s="299"/>
      <c r="R35" s="299"/>
      <c r="S35" s="299"/>
    </row>
    <row r="36" spans="1:19" ht="12.75" outlineLevel="1" x14ac:dyDescent="0.2">
      <c r="A36" s="299"/>
      <c r="F36" s="351">
        <v>1.5000000000000002</v>
      </c>
      <c r="G36" s="348">
        <v>0.13100899691415277</v>
      </c>
      <c r="H36" s="349">
        <v>0.48490551100000001</v>
      </c>
      <c r="I36" s="514">
        <f t="shared" si="0"/>
        <v>5917.5971883336415</v>
      </c>
      <c r="J36" s="334">
        <f t="shared" si="1"/>
        <v>2869.4754885010875</v>
      </c>
      <c r="K36" s="514">
        <f t="shared" si="2"/>
        <v>2699.6025395818233</v>
      </c>
      <c r="L36" s="334">
        <f t="shared" si="3"/>
        <v>2884395.0168842622</v>
      </c>
      <c r="M36" s="298"/>
      <c r="N36" s="299"/>
      <c r="O36" s="299"/>
      <c r="P36" s="299"/>
      <c r="Q36" s="299"/>
      <c r="R36" s="299"/>
      <c r="S36" s="299"/>
    </row>
    <row r="37" spans="1:19" ht="12.75" outlineLevel="1" x14ac:dyDescent="0.2">
      <c r="A37" s="299"/>
      <c r="F37" s="351">
        <v>1.6000000000000003</v>
      </c>
      <c r="G37" s="348">
        <v>0.14763395085801007</v>
      </c>
      <c r="H37" s="349">
        <v>0.484744966</v>
      </c>
      <c r="I37" s="514">
        <f t="shared" si="0"/>
        <v>7181.7712839746928</v>
      </c>
      <c r="J37" s="334">
        <f t="shared" si="1"/>
        <v>3481.327476870089</v>
      </c>
      <c r="K37" s="514">
        <f t="shared" si="2"/>
        <v>3275.2328902393797</v>
      </c>
      <c r="L37" s="334">
        <f t="shared" si="3"/>
        <v>3943503.3660419388</v>
      </c>
      <c r="M37" s="298"/>
      <c r="N37" s="299"/>
      <c r="O37" s="299"/>
      <c r="P37" s="299"/>
      <c r="Q37" s="299"/>
      <c r="R37" s="299"/>
      <c r="S37" s="299"/>
    </row>
    <row r="38" spans="1:19" ht="12.75" outlineLevel="1" x14ac:dyDescent="0.2">
      <c r="A38" s="299"/>
      <c r="F38" s="351">
        <v>1.7000000000000004</v>
      </c>
      <c r="G38" s="348">
        <v>0.15185099597601953</v>
      </c>
      <c r="H38" s="349">
        <v>0.46409419200000002</v>
      </c>
      <c r="I38" s="514">
        <f t="shared" si="0"/>
        <v>8614.268144083906</v>
      </c>
      <c r="J38" s="334">
        <f t="shared" si="1"/>
        <v>3997.8318139999601</v>
      </c>
      <c r="K38" s="514">
        <f t="shared" si="2"/>
        <v>3761.1601706111624</v>
      </c>
      <c r="L38" s="334">
        <f t="shared" si="3"/>
        <v>4657933.2468547253</v>
      </c>
      <c r="M38" s="298"/>
      <c r="N38" s="299"/>
      <c r="O38" s="299"/>
      <c r="P38" s="299"/>
      <c r="Q38" s="299"/>
      <c r="R38" s="299"/>
      <c r="S38" s="299"/>
    </row>
    <row r="39" spans="1:19" ht="12.75" outlineLevel="1" x14ac:dyDescent="0.2">
      <c r="A39" s="299"/>
      <c r="F39" s="351">
        <v>1.8000000000000005</v>
      </c>
      <c r="G39" s="348">
        <v>0.1135820647561758</v>
      </c>
      <c r="H39" s="349">
        <v>0.39089107499999998</v>
      </c>
      <c r="I39" s="514">
        <f t="shared" si="0"/>
        <v>10225.607941440534</v>
      </c>
      <c r="J39" s="334">
        <f t="shared" si="1"/>
        <v>3997.0988807582271</v>
      </c>
      <c r="K39" s="514">
        <f t="shared" si="2"/>
        <v>3760.4706270173397</v>
      </c>
      <c r="L39" s="334">
        <f t="shared" si="3"/>
        <v>3483419.2473349706</v>
      </c>
      <c r="M39" s="298"/>
      <c r="N39" s="299"/>
      <c r="O39" s="299"/>
      <c r="P39" s="299"/>
      <c r="Q39" s="299"/>
      <c r="R39" s="299"/>
      <c r="S39" s="299"/>
    </row>
    <row r="40" spans="1:19" ht="12.75" outlineLevel="1" x14ac:dyDescent="0.2">
      <c r="A40" s="299"/>
      <c r="F40" s="351">
        <v>1.9000000000000006</v>
      </c>
      <c r="G40" s="348">
        <v>6.8030648859751491E-2</v>
      </c>
      <c r="H40" s="349">
        <v>0.33210834900000002</v>
      </c>
      <c r="I40" s="514">
        <f t="shared" si="0"/>
        <v>12026.310848823841</v>
      </c>
      <c r="J40" s="334">
        <f t="shared" si="1"/>
        <v>3994.0382405636747</v>
      </c>
      <c r="K40" s="514">
        <f t="shared" si="2"/>
        <v>3757.5911767223047</v>
      </c>
      <c r="L40" s="334">
        <f t="shared" si="3"/>
        <v>2084816.9424964939</v>
      </c>
      <c r="M40" s="298"/>
      <c r="N40" s="299"/>
      <c r="O40" s="299"/>
      <c r="P40" s="299"/>
      <c r="Q40" s="299"/>
      <c r="R40" s="299"/>
      <c r="S40" s="299"/>
    </row>
    <row r="41" spans="1:19" ht="12.75" outlineLevel="1" x14ac:dyDescent="0.2">
      <c r="A41" s="299"/>
      <c r="F41" s="351">
        <v>2.0000000000000004</v>
      </c>
      <c r="G41" s="348">
        <v>3.5260139603119009E-2</v>
      </c>
      <c r="H41" s="349">
        <v>0.285191894</v>
      </c>
      <c r="I41" s="514">
        <f t="shared" si="0"/>
        <v>14026.897039013076</v>
      </c>
      <c r="J41" s="334">
        <f t="shared" si="1"/>
        <v>4000.3573334991311</v>
      </c>
      <c r="K41" s="514">
        <f t="shared" si="2"/>
        <v>3763.5361793559823</v>
      </c>
      <c r="L41" s="334">
        <f t="shared" si="3"/>
        <v>1082265.7379763059</v>
      </c>
      <c r="M41" s="298"/>
      <c r="N41" s="299"/>
      <c r="O41" s="299"/>
      <c r="P41" s="299"/>
      <c r="Q41" s="299"/>
      <c r="R41" s="299"/>
      <c r="S41" s="299"/>
    </row>
    <row r="42" spans="1:19" ht="12.75" outlineLevel="1" x14ac:dyDescent="0.2">
      <c r="A42" s="299"/>
      <c r="F42" s="351">
        <v>2.1000000000000005</v>
      </c>
      <c r="G42" s="348">
        <v>1.210468410084046E-2</v>
      </c>
      <c r="H42" s="349">
        <v>0.244454175</v>
      </c>
      <c r="I42" s="514">
        <f t="shared" si="0"/>
        <v>16237.886684787516</v>
      </c>
      <c r="J42" s="334">
        <f t="shared" si="1"/>
        <v>3969.4191932732174</v>
      </c>
      <c r="K42" s="514">
        <f t="shared" si="2"/>
        <v>3734.4295770314425</v>
      </c>
      <c r="L42" s="334">
        <f t="shared" si="3"/>
        <v>368664.67090564407</v>
      </c>
      <c r="M42" s="298"/>
      <c r="N42" s="299"/>
      <c r="O42" s="299"/>
      <c r="P42" s="299"/>
      <c r="Q42" s="299"/>
      <c r="R42" s="299"/>
      <c r="S42" s="299"/>
    </row>
    <row r="43" spans="1:19" ht="12.75" outlineLevel="1" x14ac:dyDescent="0.2">
      <c r="A43" s="299"/>
      <c r="F43" s="351">
        <v>2.2000000000000006</v>
      </c>
      <c r="G43" s="348">
        <v>4.4271407982154603E-3</v>
      </c>
      <c r="H43" s="349">
        <v>0.21493706100000001</v>
      </c>
      <c r="I43" s="514">
        <f t="shared" si="0"/>
        <v>18669.799958926407</v>
      </c>
      <c r="J43" s="334">
        <f t="shared" si="1"/>
        <v>4012.8319326295627</v>
      </c>
      <c r="K43" s="514">
        <f t="shared" si="2"/>
        <v>3775.2722822178921</v>
      </c>
      <c r="L43" s="334">
        <f t="shared" si="3"/>
        <v>136309.27281199142</v>
      </c>
      <c r="M43" s="298"/>
      <c r="N43" s="299"/>
      <c r="O43" s="299"/>
      <c r="P43" s="299"/>
      <c r="Q43" s="299"/>
      <c r="R43" s="299"/>
      <c r="S43" s="299"/>
    </row>
    <row r="44" spans="1:19" ht="12.75" outlineLevel="1" x14ac:dyDescent="0.2">
      <c r="A44" s="299"/>
      <c r="F44" s="351">
        <v>2.3000000000000007</v>
      </c>
      <c r="G44" s="348">
        <v>1.967107993329162E-3</v>
      </c>
      <c r="H44" s="349">
        <v>0.187849879</v>
      </c>
      <c r="I44" s="514">
        <f t="shared" si="0"/>
        <v>21333.15703420902</v>
      </c>
      <c r="J44" s="334">
        <f t="shared" si="1"/>
        <v>4007.430967564163</v>
      </c>
      <c r="K44" s="514">
        <f t="shared" si="2"/>
        <v>3770.1910542843643</v>
      </c>
      <c r="L44" s="334">
        <f t="shared" si="3"/>
        <v>60484.674651629604</v>
      </c>
      <c r="M44" s="298"/>
      <c r="N44" s="299"/>
      <c r="O44" s="299"/>
      <c r="P44" s="299"/>
      <c r="Q44" s="299"/>
      <c r="R44" s="299"/>
      <c r="S44" s="299"/>
    </row>
    <row r="45" spans="1:19" ht="12.75" outlineLevel="1" x14ac:dyDescent="0.2">
      <c r="A45" s="299"/>
      <c r="F45" s="351">
        <v>2.4000000000000008</v>
      </c>
      <c r="G45" s="348">
        <v>1.0898667860202798E-3</v>
      </c>
      <c r="H45" s="349">
        <v>0.166861117</v>
      </c>
      <c r="I45" s="514">
        <f t="shared" si="0"/>
        <v>24238.478083414608</v>
      </c>
      <c r="J45" s="334">
        <f t="shared" si="1"/>
        <v>4044.4595273785808</v>
      </c>
      <c r="K45" s="514">
        <f t="shared" si="2"/>
        <v>3805.0275233577686</v>
      </c>
      <c r="L45" s="334">
        <f t="shared" si="3"/>
        <v>33820.888078979042</v>
      </c>
      <c r="M45" s="298"/>
      <c r="N45" s="299"/>
      <c r="O45" s="299"/>
      <c r="P45" s="299"/>
      <c r="Q45" s="299"/>
      <c r="R45" s="299"/>
      <c r="S45" s="299"/>
    </row>
    <row r="46" spans="1:19" ht="12.75" outlineLevel="1" x14ac:dyDescent="0.2">
      <c r="A46" s="299"/>
      <c r="F46" s="351">
        <v>2.5000000000000009</v>
      </c>
      <c r="G46" s="348">
        <v>5.8458972743178066E-4</v>
      </c>
      <c r="H46" s="349">
        <v>0.14767646800000001</v>
      </c>
      <c r="I46" s="514">
        <f t="shared" si="0"/>
        <v>27396.28327932243</v>
      </c>
      <c r="J46" s="334">
        <f t="shared" si="1"/>
        <v>4045.786351017794</v>
      </c>
      <c r="K46" s="514">
        <f t="shared" si="2"/>
        <v>3806.2757990375403</v>
      </c>
      <c r="L46" s="334">
        <f t="shared" si="3"/>
        <v>18147.015925009047</v>
      </c>
      <c r="M46" s="298"/>
      <c r="N46" s="299"/>
      <c r="O46" s="299"/>
      <c r="P46" s="299"/>
      <c r="Q46" s="299"/>
      <c r="R46" s="299"/>
      <c r="S46" s="299"/>
    </row>
    <row r="47" spans="1:19" ht="12.75" outlineLevel="1" x14ac:dyDescent="0.2">
      <c r="A47" s="299"/>
      <c r="F47" s="351">
        <v>2.600000000000001</v>
      </c>
      <c r="G47" s="348">
        <v>3.7514777722095078E-4</v>
      </c>
      <c r="H47" s="349">
        <v>0.130130738</v>
      </c>
      <c r="I47" s="514">
        <f t="shared" si="0"/>
        <v>30817.092794711745</v>
      </c>
      <c r="J47" s="334">
        <f t="shared" si="1"/>
        <v>4010.2510283903216</v>
      </c>
      <c r="K47" s="514">
        <f t="shared" si="2"/>
        <v>3772.8441675096142</v>
      </c>
      <c r="L47" s="334">
        <f t="shared" si="3"/>
        <v>11543.168421438446</v>
      </c>
      <c r="M47" s="298"/>
      <c r="N47" s="299"/>
      <c r="O47" s="299"/>
      <c r="P47" s="299"/>
      <c r="Q47" s="299"/>
      <c r="R47" s="299"/>
      <c r="S47" s="299"/>
    </row>
    <row r="48" spans="1:19" ht="12.75" outlineLevel="1" x14ac:dyDescent="0.2">
      <c r="A48" s="299"/>
      <c r="F48" s="351">
        <v>2.7000000000000011</v>
      </c>
      <c r="G48" s="348">
        <v>2.1158894749812845E-4</v>
      </c>
      <c r="H48" s="349">
        <v>0.117386773</v>
      </c>
      <c r="I48" s="514">
        <f t="shared" si="0"/>
        <v>34511.426802361813</v>
      </c>
      <c r="J48" s="334">
        <f t="shared" si="1"/>
        <v>4051.1850239549622</v>
      </c>
      <c r="K48" s="514">
        <f t="shared" si="2"/>
        <v>3811.3548705368285</v>
      </c>
      <c r="L48" s="334">
        <f t="shared" si="3"/>
        <v>6576.9744191745676</v>
      </c>
      <c r="M48" s="298"/>
      <c r="N48" s="299"/>
      <c r="O48" s="299"/>
      <c r="P48" s="299"/>
      <c r="Q48" s="299"/>
      <c r="R48" s="299"/>
      <c r="S48" s="299"/>
    </row>
    <row r="49" spans="1:19" ht="12.75" outlineLevel="1" x14ac:dyDescent="0.2">
      <c r="A49" s="299"/>
      <c r="F49" s="351">
        <v>2.8000000000000012</v>
      </c>
      <c r="G49" s="348">
        <v>9.4292120137543507E-5</v>
      </c>
      <c r="H49" s="349">
        <v>0.102551185</v>
      </c>
      <c r="I49" s="514">
        <f t="shared" si="0"/>
        <v>38489.805475051908</v>
      </c>
      <c r="J49" s="334">
        <f t="shared" si="1"/>
        <v>3947.1751618860612</v>
      </c>
      <c r="K49" s="514">
        <f t="shared" si="2"/>
        <v>3713.5023923024064</v>
      </c>
      <c r="L49" s="334">
        <f t="shared" si="3"/>
        <v>2855.7020680203805</v>
      </c>
      <c r="M49" s="298"/>
      <c r="N49" s="299"/>
      <c r="O49" s="299"/>
      <c r="P49" s="299"/>
      <c r="Q49" s="299"/>
      <c r="R49" s="299"/>
      <c r="S49" s="299"/>
    </row>
    <row r="50" spans="1:19" ht="12.75" outlineLevel="1" x14ac:dyDescent="0.2">
      <c r="A50" s="299"/>
      <c r="F50" s="351">
        <v>2.9000000000000012</v>
      </c>
      <c r="G50" s="348">
        <v>2.3636177013424083E-5</v>
      </c>
      <c r="H50" s="349">
        <v>9.4912945999999998E-2</v>
      </c>
      <c r="I50" s="514">
        <f t="shared" si="0"/>
        <v>42762.748985561266</v>
      </c>
      <c r="J50" s="334">
        <f>I50*H50</f>
        <v>4058.7384852781311</v>
      </c>
      <c r="K50" s="514">
        <f t="shared" si="2"/>
        <v>3818.4611669496653</v>
      </c>
      <c r="L50" s="334">
        <f t="shared" si="3"/>
        <v>736.07047735818014</v>
      </c>
      <c r="M50" s="298"/>
      <c r="N50" s="299"/>
      <c r="O50" s="299"/>
      <c r="P50" s="299"/>
      <c r="Q50" s="299"/>
      <c r="R50" s="299"/>
      <c r="S50" s="299"/>
    </row>
    <row r="51" spans="1:19" ht="12.75" outlineLevel="1" x14ac:dyDescent="0.2">
      <c r="A51" s="299"/>
      <c r="F51" s="351">
        <v>3.0000000000000013</v>
      </c>
      <c r="G51" s="348">
        <v>0</v>
      </c>
      <c r="H51" s="349">
        <v>8.4975779000000001E-2</v>
      </c>
      <c r="I51" s="514">
        <f t="shared" si="0"/>
        <v>0</v>
      </c>
      <c r="J51" s="334">
        <f t="shared" si="1"/>
        <v>0</v>
      </c>
      <c r="K51" s="514">
        <f t="shared" si="2"/>
        <v>0</v>
      </c>
      <c r="L51" s="334">
        <f t="shared" si="3"/>
        <v>0</v>
      </c>
      <c r="M51" s="298"/>
      <c r="N51" s="299"/>
      <c r="O51" s="299"/>
      <c r="P51" s="299"/>
      <c r="Q51" s="299"/>
      <c r="R51" s="299"/>
      <c r="S51" s="299"/>
    </row>
    <row r="52" spans="1:19" ht="12.75" outlineLevel="1" x14ac:dyDescent="0.2">
      <c r="B52" s="259"/>
      <c r="C52" s="269"/>
      <c r="D52" s="270"/>
      <c r="E52" s="268"/>
      <c r="F52" s="268"/>
      <c r="G52" s="268"/>
      <c r="H52" s="268"/>
      <c r="I52" s="356"/>
      <c r="J52" s="356"/>
    </row>
    <row r="53" spans="1:19" ht="12.75" x14ac:dyDescent="0.2">
      <c r="A53" s="244" t="s">
        <v>631</v>
      </c>
      <c r="H53" s="262"/>
      <c r="I53" s="262"/>
      <c r="J53" s="262"/>
      <c r="L53" s="262"/>
    </row>
    <row r="54" spans="1:19" ht="12.75" outlineLevel="1" x14ac:dyDescent="0.2">
      <c r="B54" s="258" t="s">
        <v>638</v>
      </c>
      <c r="G54" s="250">
        <v>20</v>
      </c>
    </row>
    <row r="55" spans="1:19" ht="12.75" outlineLevel="1" x14ac:dyDescent="0.2">
      <c r="B55" s="263" t="s">
        <v>637</v>
      </c>
      <c r="G55" s="255">
        <v>0.4</v>
      </c>
    </row>
    <row r="56" spans="1:19" ht="12.75" outlineLevel="1" x14ac:dyDescent="0.2">
      <c r="B56" s="263" t="s">
        <v>632</v>
      </c>
      <c r="G56" s="255">
        <v>0</v>
      </c>
    </row>
    <row r="57" spans="1:19" ht="12.75" outlineLevel="1" x14ac:dyDescent="0.2">
      <c r="B57" s="263" t="s">
        <v>598</v>
      </c>
      <c r="G57" s="261">
        <f>G55+G56*(1-G55)</f>
        <v>0.4</v>
      </c>
    </row>
    <row r="58" spans="1:19" ht="12.75" outlineLevel="1" x14ac:dyDescent="0.2">
      <c r="B58" s="263" t="s">
        <v>597</v>
      </c>
      <c r="G58" s="255">
        <v>0.08</v>
      </c>
    </row>
    <row r="59" spans="1:19" ht="12.75" outlineLevel="1" x14ac:dyDescent="0.2">
      <c r="B59" s="263" t="s">
        <v>648</v>
      </c>
      <c r="G59" s="255">
        <v>0.5</v>
      </c>
    </row>
    <row r="60" spans="1:19" ht="12.75" outlineLevel="1" x14ac:dyDescent="0.2">
      <c r="B60" s="263" t="s">
        <v>649</v>
      </c>
      <c r="G60" s="255">
        <v>0.5</v>
      </c>
    </row>
    <row r="61" spans="1:19" ht="12.75" outlineLevel="1" x14ac:dyDescent="0.2">
      <c r="B61" s="263" t="s">
        <v>634</v>
      </c>
      <c r="G61" s="255">
        <v>0.5</v>
      </c>
    </row>
    <row r="62" spans="1:19" ht="12.75" outlineLevel="1" x14ac:dyDescent="0.2">
      <c r="B62" s="263" t="s">
        <v>633</v>
      </c>
      <c r="G62" s="255">
        <v>9.7000000000000003E-2</v>
      </c>
    </row>
    <row r="63" spans="1:19" ht="12.75" outlineLevel="1" x14ac:dyDescent="0.2">
      <c r="B63" s="263" t="s">
        <v>635</v>
      </c>
      <c r="G63" s="255">
        <v>0.5</v>
      </c>
    </row>
    <row r="64" spans="1:19" ht="12.75" outlineLevel="1" x14ac:dyDescent="0.2">
      <c r="B64" s="263" t="s">
        <v>636</v>
      </c>
      <c r="G64" s="255">
        <v>0.08</v>
      </c>
    </row>
    <row r="65" spans="2:10" ht="12.75" outlineLevel="1" x14ac:dyDescent="0.2">
      <c r="B65" s="263" t="s">
        <v>647</v>
      </c>
      <c r="G65" s="264">
        <f>IF(G57&gt;0,G63*G64*(1-G57)+(1-G63)*G62,G63*G64+(1-G63)*G62)</f>
        <v>7.2500000000000009E-2</v>
      </c>
    </row>
    <row r="66" spans="2:10" ht="12.75" outlineLevel="1" x14ac:dyDescent="0.2">
      <c r="B66" s="263" t="s">
        <v>596</v>
      </c>
      <c r="F66" s="241" t="s">
        <v>639</v>
      </c>
      <c r="G66" s="265">
        <v>0.2</v>
      </c>
    </row>
    <row r="67" spans="2:10" ht="12.75" outlineLevel="1" x14ac:dyDescent="0.2">
      <c r="B67" s="244"/>
      <c r="F67" s="241" t="s">
        <v>640</v>
      </c>
      <c r="G67" s="266">
        <v>0.32</v>
      </c>
    </row>
    <row r="68" spans="2:10" ht="12.75" outlineLevel="1" x14ac:dyDescent="0.2">
      <c r="F68" s="241" t="s">
        <v>641</v>
      </c>
      <c r="G68" s="266">
        <v>0.192</v>
      </c>
    </row>
    <row r="69" spans="2:10" ht="12.75" outlineLevel="1" x14ac:dyDescent="0.2">
      <c r="F69" s="241" t="s">
        <v>642</v>
      </c>
      <c r="G69" s="266">
        <v>0.1152</v>
      </c>
    </row>
    <row r="70" spans="2:10" ht="12.75" outlineLevel="1" x14ac:dyDescent="0.2">
      <c r="F70" s="241" t="s">
        <v>643</v>
      </c>
      <c r="G70" s="266">
        <v>0.1152</v>
      </c>
    </row>
    <row r="71" spans="2:10" ht="12.75" outlineLevel="1" x14ac:dyDescent="0.2">
      <c r="F71" s="241" t="s">
        <v>644</v>
      </c>
      <c r="G71" s="266">
        <v>5.7599999999999998E-2</v>
      </c>
      <c r="H71" s="260"/>
      <c r="I71" s="260"/>
      <c r="J71" s="260"/>
    </row>
    <row r="72" spans="2:10" ht="12.75" outlineLevel="1" x14ac:dyDescent="0.2">
      <c r="B72" s="241" t="s">
        <v>650</v>
      </c>
      <c r="G72" s="256">
        <f>1+(1-G57)*((1+G58)^(0.5)-1)</f>
        <v>1.0235382907247959</v>
      </c>
      <c r="H72" s="241" t="s">
        <v>653</v>
      </c>
    </row>
    <row r="73" spans="2:10" ht="12.75" outlineLevel="1" x14ac:dyDescent="0.2">
      <c r="B73" s="241" t="s">
        <v>651</v>
      </c>
      <c r="G73" s="256">
        <f>1+(1-G57)*((1+G58)^(1+0.5)-1)</f>
        <v>1.0734213539827795</v>
      </c>
      <c r="H73" s="241" t="s">
        <v>653</v>
      </c>
    </row>
    <row r="74" spans="2:10" ht="12.75" outlineLevel="1" x14ac:dyDescent="0.2">
      <c r="B74" s="241" t="s">
        <v>646</v>
      </c>
      <c r="G74" s="272">
        <f>SUMPRODUCT(G59:G60,G72:G73)</f>
        <v>1.0484798223537877</v>
      </c>
    </row>
    <row r="75" spans="2:10" ht="12.75" outlineLevel="1" x14ac:dyDescent="0.2">
      <c r="B75" s="241" t="s">
        <v>654</v>
      </c>
      <c r="G75" s="257">
        <f>-PMT(G65,G54,1)</f>
        <v>9.6234840220136078E-2</v>
      </c>
    </row>
    <row r="76" spans="2:10" ht="12.75" outlineLevel="1" x14ac:dyDescent="0.2">
      <c r="B76" s="241" t="s">
        <v>645</v>
      </c>
      <c r="G76" s="267">
        <f>NPV(G65,G66:G71)</f>
        <v>0.82641453990921676</v>
      </c>
    </row>
    <row r="77" spans="2:10" ht="12.75" outlineLevel="1" x14ac:dyDescent="0.2">
      <c r="B77" s="241" t="s">
        <v>655</v>
      </c>
      <c r="G77" s="260">
        <f>G74*G75*(1-G57*G76)/(1-G57)</f>
        <v>0.11257683680939656</v>
      </c>
      <c r="H77" s="271" t="s">
        <v>652</v>
      </c>
      <c r="I77" s="271"/>
      <c r="J77" s="271"/>
    </row>
  </sheetData>
  <dataConsolidate/>
  <pageMargins left="0.75" right="0.75" top="1" bottom="1" header="0.5" footer="0.5"/>
  <pageSetup scale="92" orientation="portrait" horizontalDpi="300" verticalDpi="300" r:id="rId1"/>
  <headerFooter alignWithMargins="0"/>
  <colBreaks count="2" manualBreakCount="2">
    <brk id="11" max="1048575" man="1"/>
    <brk id="19" max="1048575" man="1"/>
  </colBreaks>
  <drawing r:id="rId2"/>
  <legacyDrawing r:id="rId3"/>
  <controls>
    <mc:AlternateContent xmlns:mc="http://schemas.openxmlformats.org/markup-compatibility/2006">
      <mc:Choice Requires="x14">
        <control shapeId="29697" r:id="rId4" name="CommandButton1">
          <controlPr locked="0" defaultSize="0" autoLine="0" r:id="rId5">
            <anchor moveWithCells="1" sizeWithCells="1">
              <from>
                <xdr:col>1</xdr:col>
                <xdr:colOff>38100</xdr:colOff>
                <xdr:row>17</xdr:row>
                <xdr:rowOff>0</xdr:rowOff>
              </from>
              <to>
                <xdr:col>7</xdr:col>
                <xdr:colOff>495300</xdr:colOff>
                <xdr:row>17</xdr:row>
                <xdr:rowOff>0</xdr:rowOff>
              </to>
            </anchor>
          </controlPr>
        </control>
      </mc:Choice>
      <mc:Fallback>
        <control shapeId="29697" r:id="rId4" name="CommandButton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0"/>
  <sheetViews>
    <sheetView zoomScale="70" zoomScaleNormal="70" workbookViewId="0">
      <pane xSplit="8" ySplit="4" topLeftCell="I5" activePane="bottomRight" state="frozen"/>
      <selection activeCell="A3" sqref="A3"/>
      <selection pane="topRight" activeCell="I3" sqref="I3"/>
      <selection pane="bottomLeft" activeCell="A5" sqref="A5"/>
      <selection pane="bottomRight" activeCell="R24" sqref="R24"/>
    </sheetView>
  </sheetViews>
  <sheetFormatPr defaultColWidth="9.109375" defaultRowHeight="14.4" outlineLevelRow="2" x14ac:dyDescent="0.3"/>
  <cols>
    <col min="1" max="1" width="8.44140625" style="84" customWidth="1"/>
    <col min="2" max="2" width="3.88671875" style="118" customWidth="1"/>
    <col min="3" max="4" width="4.109375" style="118" customWidth="1"/>
    <col min="5" max="7" width="9.109375" style="118"/>
    <col min="8" max="9" width="20.33203125" style="118" customWidth="1"/>
    <col min="10" max="10" width="19.5546875" style="118" bestFit="1" customWidth="1"/>
    <col min="11" max="11" width="10.109375" style="107" customWidth="1"/>
    <col min="12" max="12" width="20.44140625" style="118" bestFit="1" customWidth="1"/>
    <col min="13" max="13" width="10.109375" style="107" customWidth="1"/>
    <col min="14" max="14" width="22.6640625" style="118" bestFit="1" customWidth="1"/>
    <col min="15" max="15" width="11.5546875" style="107" customWidth="1"/>
    <col min="16" max="16" width="20.88671875" style="118" customWidth="1"/>
    <col min="17" max="17" width="11" style="118" customWidth="1"/>
    <col min="18" max="18" width="17.109375" style="118" bestFit="1" customWidth="1"/>
    <col min="19" max="19" width="16.88671875" style="118" bestFit="1" customWidth="1"/>
    <col min="20" max="22" width="13.33203125" style="118" bestFit="1" customWidth="1"/>
    <col min="23" max="16384" width="9.109375" style="118"/>
  </cols>
  <sheetData>
    <row r="1" spans="1:19" ht="21.75" hidden="1" customHeight="1" x14ac:dyDescent="0.25">
      <c r="A1" s="84" t="s">
        <v>658</v>
      </c>
      <c r="J1" s="118">
        <f>J4*'Performance &amp; Economics'!$Q$14*1000</f>
        <v>4000</v>
      </c>
      <c r="K1" s="118"/>
      <c r="L1" s="118">
        <f>L4*'Performance &amp; Economics'!$Q$14*1000</f>
        <v>40000</v>
      </c>
      <c r="M1" s="118"/>
      <c r="N1" s="118">
        <f>N4*'Performance &amp; Economics'!$Q$14*1000</f>
        <v>200000</v>
      </c>
      <c r="O1" s="118"/>
      <c r="P1" s="118">
        <f>P4*'Performance &amp; Economics'!$Q$14*1000</f>
        <v>400000</v>
      </c>
    </row>
    <row r="2" spans="1:19" ht="18.75" hidden="1" customHeight="1" x14ac:dyDescent="0.25">
      <c r="A2" s="84" t="s">
        <v>659</v>
      </c>
      <c r="J2" s="104">
        <f>'Performance &amp; Economics'!$Q$16</f>
        <v>22860.612157135449</v>
      </c>
      <c r="K2" s="288"/>
      <c r="L2" s="104">
        <f>J2*L4</f>
        <v>228606.12157135448</v>
      </c>
      <c r="M2" s="288"/>
      <c r="N2" s="104">
        <f>J2*N4</f>
        <v>1143030.6078567724</v>
      </c>
      <c r="O2" s="288"/>
      <c r="P2" s="104">
        <f>J2*P4</f>
        <v>2286061.2157135447</v>
      </c>
    </row>
    <row r="3" spans="1:19" ht="22.5" customHeight="1" x14ac:dyDescent="0.25">
      <c r="A3" s="3" t="s">
        <v>293</v>
      </c>
      <c r="I3" s="106"/>
      <c r="J3" s="546" t="s">
        <v>68</v>
      </c>
      <c r="K3" s="546"/>
      <c r="L3" s="546"/>
      <c r="M3" s="546"/>
      <c r="N3" s="546"/>
      <c r="O3" s="546"/>
      <c r="P3" s="546"/>
      <c r="Q3" s="106"/>
    </row>
    <row r="4" spans="1:19" ht="24.75" customHeight="1" x14ac:dyDescent="0.25">
      <c r="I4" s="106" t="s">
        <v>255</v>
      </c>
      <c r="J4" s="106">
        <v>1</v>
      </c>
      <c r="K4" s="214" t="s">
        <v>494</v>
      </c>
      <c r="L4" s="106">
        <v>10</v>
      </c>
      <c r="M4" s="214" t="s">
        <v>494</v>
      </c>
      <c r="N4" s="106">
        <v>50</v>
      </c>
      <c r="O4" s="214" t="s">
        <v>495</v>
      </c>
      <c r="P4" s="106">
        <v>100</v>
      </c>
      <c r="Q4" s="214" t="s">
        <v>495</v>
      </c>
      <c r="R4" s="106"/>
      <c r="S4" s="119"/>
    </row>
    <row r="5" spans="1:19" s="106" customFormat="1" ht="15" x14ac:dyDescent="0.25">
      <c r="A5" s="119">
        <v>1</v>
      </c>
      <c r="B5" s="106" t="s">
        <v>0</v>
      </c>
      <c r="J5" s="205"/>
      <c r="K5" s="205"/>
      <c r="L5" s="205"/>
      <c r="M5" s="205"/>
      <c r="N5" s="205"/>
      <c r="O5" s="205"/>
      <c r="P5" s="205"/>
    </row>
    <row r="6" spans="1:19" s="106" customFormat="1" ht="15" x14ac:dyDescent="0.25">
      <c r="A6" s="119">
        <v>1.1000000000000001</v>
      </c>
      <c r="C6" s="106" t="s">
        <v>240</v>
      </c>
      <c r="J6" s="289">
        <f>('CBS (Total)'!J4*'Performance &amp; Economics'!$G$77)/'CBS (CoE)'!J$2/10</f>
        <v>5.3102414070383404</v>
      </c>
      <c r="K6" s="203">
        <f t="shared" ref="K6:K55" si="0">J6/$J$58</f>
        <v>0.10513793016369501</v>
      </c>
      <c r="L6" s="289">
        <f>('CBS (Total)'!L4*'Performance &amp; Economics'!$G$77)/'CBS (CoE)'!L$2/10</f>
        <v>1.0967768601188645</v>
      </c>
      <c r="M6" s="203">
        <f t="shared" ref="M6:M55" si="1">L6/$L$58</f>
        <v>5.9969081788502666E-2</v>
      </c>
      <c r="N6" s="289">
        <f>('CBS (Total)'!N4*'Performance &amp; Economics'!$G$77)/'CBS (CoE)'!N$2/10</f>
        <v>0.42052397151635146</v>
      </c>
      <c r="O6" s="203">
        <f t="shared" ref="O6:O55" si="2">N6/$N$58</f>
        <v>3.1437912105545147E-2</v>
      </c>
      <c r="P6" s="289">
        <f>('CBS (Total)'!P4*'Performance &amp; Economics'!$G$77)/'CBS (CoE)'!P$2/10</f>
        <v>0.24107789004097216</v>
      </c>
      <c r="Q6" s="209">
        <f t="shared" ref="Q6:Q55" si="3">P6/$P$58</f>
        <v>1.9674871906362284E-2</v>
      </c>
      <c r="R6" s="238"/>
      <c r="S6" s="238"/>
    </row>
    <row r="7" spans="1:19" s="107" customFormat="1" ht="15" hidden="1" outlineLevel="1" x14ac:dyDescent="0.25">
      <c r="A7" s="149" t="s">
        <v>2</v>
      </c>
      <c r="D7" s="107" t="s">
        <v>1</v>
      </c>
      <c r="I7" s="144"/>
      <c r="J7" s="290">
        <f>('CBS (Total)'!J5*'Performance &amp; Economics'!$G$77)/'CBS (CoE)'!J$2/10</f>
        <v>2.2709281771550955</v>
      </c>
      <c r="K7" s="207">
        <f t="shared" si="0"/>
        <v>4.4962303932178982E-2</v>
      </c>
      <c r="L7" s="290">
        <f>('CBS (Total)'!L5*'Performance &amp; Economics'!$G$77)/'CBS (CoE)'!L$2/10</f>
        <v>0.43091742413955691</v>
      </c>
      <c r="M7" s="207">
        <f t="shared" si="1"/>
        <v>2.3561513004126795E-2</v>
      </c>
      <c r="N7" s="290">
        <f>('CBS (Total)'!N5*'Performance &amp; Economics'!$G$77)/'CBS (CoE)'!N$2/10</f>
        <v>0.10617198633733897</v>
      </c>
      <c r="O7" s="207">
        <f t="shared" si="2"/>
        <v>7.9373015585976325E-3</v>
      </c>
      <c r="P7" s="290">
        <f>('CBS (Total)'!P5*'Performance &amp; Economics'!$G$77)/'CBS (CoE)'!P$2/10</f>
        <v>5.3085993168669486E-2</v>
      </c>
      <c r="Q7" s="208">
        <f t="shared" si="3"/>
        <v>4.3324591709263975E-3</v>
      </c>
      <c r="R7" s="206"/>
      <c r="S7" s="206"/>
    </row>
    <row r="8" spans="1:19" s="107" customFormat="1" ht="15" hidden="1" outlineLevel="2" x14ac:dyDescent="0.25">
      <c r="A8" s="149" t="s">
        <v>241</v>
      </c>
      <c r="E8" s="107" t="s">
        <v>3</v>
      </c>
      <c r="I8" s="144"/>
      <c r="J8" s="290">
        <f>('CBS (Total)'!J6*'Performance &amp; Economics'!$G$77)/'CBS (CoE)'!J$2/10</f>
        <v>0.1243433513459095</v>
      </c>
      <c r="K8" s="207">
        <f t="shared" si="0"/>
        <v>2.4618847973273757E-3</v>
      </c>
      <c r="L8" s="290">
        <f>('CBS (Total)'!L6*'Performance &amp; Economics'!$G$77)/'CBS (CoE)'!L$2/10</f>
        <v>1.822060990019268E-2</v>
      </c>
      <c r="M8" s="207">
        <f t="shared" si="1"/>
        <v>9.96258477975763E-4</v>
      </c>
      <c r="N8" s="290">
        <f>('CBS (Total)'!N6*'Performance &amp; Economics'!$G$77)/'CBS (CoE)'!N$2/10</f>
        <v>3.8411015465271057E-3</v>
      </c>
      <c r="O8" s="207">
        <f t="shared" si="2"/>
        <v>2.8715654989360634E-4</v>
      </c>
      <c r="P8" s="290">
        <f>('CBS (Total)'!P6*'Performance &amp; Economics'!$G$77)/'CBS (CoE)'!P$2/10</f>
        <v>1.9205507732635528E-3</v>
      </c>
      <c r="Q8" s="208">
        <f t="shared" si="3"/>
        <v>1.5674017408731864E-4</v>
      </c>
    </row>
    <row r="9" spans="1:19" s="107" customFormat="1" ht="15" hidden="1" outlineLevel="2" x14ac:dyDescent="0.25">
      <c r="A9" s="149" t="s">
        <v>242</v>
      </c>
      <c r="E9" s="107" t="s">
        <v>5</v>
      </c>
      <c r="I9" s="144"/>
      <c r="J9" s="290">
        <f>('CBS (Total)'!J7*'Performance &amp; Economics'!$G$77)/'CBS (CoE)'!J$2/10</f>
        <v>0.87668218310318957</v>
      </c>
      <c r="K9" s="207">
        <f t="shared" si="0"/>
        <v>1.735750657600816E-2</v>
      </c>
      <c r="L9" s="290">
        <f>('CBS (Total)'!L7*'Performance &amp; Economics'!$G$77)/'CBS (CoE)'!L$2/10</f>
        <v>0.17655524768828595</v>
      </c>
      <c r="M9" s="207">
        <f t="shared" si="1"/>
        <v>9.6536100220610925E-3</v>
      </c>
      <c r="N9" s="290">
        <f>('CBS (Total)'!N7*'Performance &amp; Economics'!$G$77)/'CBS (CoE)'!N$2/10</f>
        <v>4.8380643774173775E-2</v>
      </c>
      <c r="O9" s="207">
        <f t="shared" si="2"/>
        <v>3.6168840056791476E-3</v>
      </c>
      <c r="P9" s="290">
        <f>('CBS (Total)'!P7*'Performance &amp; Economics'!$G$77)/'CBS (CoE)'!P$2/10</f>
        <v>2.4190321887086887E-2</v>
      </c>
      <c r="Q9" s="208">
        <f t="shared" si="3"/>
        <v>1.9742228722062329E-3</v>
      </c>
      <c r="R9" s="206"/>
    </row>
    <row r="10" spans="1:19" s="107" customFormat="1" ht="15" hidden="1" outlineLevel="2" x14ac:dyDescent="0.25">
      <c r="A10" s="149" t="s">
        <v>243</v>
      </c>
      <c r="E10" s="107" t="s">
        <v>7</v>
      </c>
      <c r="I10" s="144"/>
      <c r="J10" s="290">
        <f>('CBS (Total)'!J8*'Performance &amp; Economics'!$G$77)/'CBS (CoE)'!J$2/10</f>
        <v>0.72820883486243049</v>
      </c>
      <c r="K10" s="207">
        <f t="shared" si="0"/>
        <v>1.4417869877417258E-2</v>
      </c>
      <c r="L10" s="290">
        <f>('CBS (Total)'!L8*'Performance &amp; Economics'!$G$77)/'CBS (CoE)'!L$2/10</f>
        <v>0.15242525079343619</v>
      </c>
      <c r="M10" s="207">
        <f t="shared" si="1"/>
        <v>8.3342406863634606E-3</v>
      </c>
      <c r="N10" s="290">
        <f>('CBS (Total)'!N8*'Performance &amp; Economics'!$G$77)/'CBS (CoE)'!N$2/10</f>
        <v>3.4990957742113263E-2</v>
      </c>
      <c r="O10" s="207">
        <f t="shared" si="2"/>
        <v>2.6158857247038712E-3</v>
      </c>
      <c r="P10" s="290">
        <f>('CBS (Total)'!P8*'Performance &amp; Economics'!$G$77)/'CBS (CoE)'!P$2/10</f>
        <v>1.7495478871056631E-2</v>
      </c>
      <c r="Q10" s="208">
        <f t="shared" si="3"/>
        <v>1.4278427012531312E-3</v>
      </c>
    </row>
    <row r="11" spans="1:19" s="107" customFormat="1" ht="15" hidden="1" outlineLevel="2" x14ac:dyDescent="0.25">
      <c r="A11" s="149" t="s">
        <v>244</v>
      </c>
      <c r="E11" s="107" t="s">
        <v>8</v>
      </c>
      <c r="I11" s="144"/>
      <c r="J11" s="290">
        <f>('CBS (Total)'!J9*'Performance &amp; Economics'!$G$77)/'CBS (CoE)'!J$2/10</f>
        <v>0.54169380784356613</v>
      </c>
      <c r="K11" s="207">
        <f t="shared" si="0"/>
        <v>1.0725042681426192E-2</v>
      </c>
      <c r="L11" s="290">
        <f>('CBS (Total)'!L9*'Performance &amp; Economics'!$G$77)/'CBS (CoE)'!L$2/10</f>
        <v>8.3716315757642032E-2</v>
      </c>
      <c r="M11" s="207">
        <f t="shared" si="1"/>
        <v>4.5774038177264775E-3</v>
      </c>
      <c r="N11" s="290">
        <f>('CBS (Total)'!N9*'Performance &amp; Economics'!$G$77)/'CBS (CoE)'!N$2/10</f>
        <v>1.8959283274524816E-2</v>
      </c>
      <c r="O11" s="207">
        <f t="shared" si="2"/>
        <v>1.4173752783210058E-3</v>
      </c>
      <c r="P11" s="290">
        <f>('CBS (Total)'!P9*'Performance &amp; Economics'!$G$77)/'CBS (CoE)'!P$2/10</f>
        <v>9.4796416372624082E-3</v>
      </c>
      <c r="Q11" s="208">
        <f t="shared" si="3"/>
        <v>7.7365342337971379E-4</v>
      </c>
    </row>
    <row r="12" spans="1:19" s="107" customFormat="1" ht="15" hidden="1" outlineLevel="1" collapsed="1" x14ac:dyDescent="0.25">
      <c r="A12" s="149" t="s">
        <v>4</v>
      </c>
      <c r="D12" s="107" t="s">
        <v>245</v>
      </c>
      <c r="I12" s="144"/>
      <c r="J12" s="290">
        <f>('CBS (Total)'!J10*'Performance &amp; Economics'!$G$77)/'CBS (CoE)'!J$2/10</f>
        <v>0.98489783244284757</v>
      </c>
      <c r="K12" s="207">
        <f t="shared" si="0"/>
        <v>1.9500077602593077E-2</v>
      </c>
      <c r="L12" s="290">
        <f>('CBS (Total)'!L10*'Performance &amp; Economics'!$G$77)/'CBS (CoE)'!L$2/10</f>
        <v>0.19697956648856951</v>
      </c>
      <c r="M12" s="207">
        <f t="shared" si="1"/>
        <v>1.0770361924062302E-2</v>
      </c>
      <c r="N12" s="290">
        <f>('CBS (Total)'!N10*'Performance &amp; Economics'!$G$77)/'CBS (CoE)'!N$2/10</f>
        <v>7.8791826595427814E-2</v>
      </c>
      <c r="O12" s="207">
        <f t="shared" si="2"/>
        <v>5.890390767048336E-3</v>
      </c>
      <c r="P12" s="290">
        <f>('CBS (Total)'!P10*'Performance &amp; Economics'!$G$77)/'CBS (CoE)'!P$2/10</f>
        <v>7.8791826595427814E-2</v>
      </c>
      <c r="Q12" s="208">
        <f t="shared" si="3"/>
        <v>6.4303661164028161E-3</v>
      </c>
    </row>
    <row r="13" spans="1:19" s="107" customFormat="1" ht="15" hidden="1" outlineLevel="1" x14ac:dyDescent="0.25">
      <c r="A13" s="149" t="s">
        <v>6</v>
      </c>
      <c r="D13" s="107" t="s">
        <v>562</v>
      </c>
      <c r="I13" s="144"/>
      <c r="J13" s="290">
        <f>('CBS (Total)'!J11*'Performance &amp; Economics'!$G$77)/'CBS (CoE)'!J$2/10</f>
        <v>2.0544153974403976</v>
      </c>
      <c r="K13" s="207">
        <f t="shared" si="0"/>
        <v>4.0675548628922947E-2</v>
      </c>
      <c r="L13" s="290">
        <f>('CBS (Total)'!L11*'Performance &amp; Economics'!$G$77)/'CBS (CoE)'!L$2/10</f>
        <v>0.46887986949073801</v>
      </c>
      <c r="M13" s="207">
        <f t="shared" si="1"/>
        <v>2.5637206860313563E-2</v>
      </c>
      <c r="N13" s="290">
        <f>('CBS (Total)'!N11*'Performance &amp; Economics'!$G$77)/'CBS (CoE)'!N$2/10</f>
        <v>0.2355601585835847</v>
      </c>
      <c r="O13" s="207">
        <f t="shared" si="2"/>
        <v>1.761021977989918E-2</v>
      </c>
      <c r="P13" s="290">
        <f>('CBS (Total)'!P11*'Performance &amp; Economics'!$G$77)/'CBS (CoE)'!P$2/10</f>
        <v>0.10920007027687487</v>
      </c>
      <c r="Q13" s="208">
        <f t="shared" si="3"/>
        <v>8.9120466190330712E-3</v>
      </c>
    </row>
    <row r="14" spans="1:19" s="106" customFormat="1" ht="15" collapsed="1" x14ac:dyDescent="0.25">
      <c r="A14" s="119">
        <v>1.2</v>
      </c>
      <c r="C14" s="106" t="s">
        <v>10</v>
      </c>
      <c r="I14" s="147"/>
      <c r="J14" s="289">
        <f>('CBS (Total)'!J12*'Performance &amp; Economics'!$G$77)/'CBS (CoE)'!J$2/10</f>
        <v>17.178587993468149</v>
      </c>
      <c r="K14" s="203">
        <f t="shared" si="0"/>
        <v>0.34012035354442849</v>
      </c>
      <c r="L14" s="289">
        <f>('CBS (Total)'!L12*'Performance &amp; Economics'!$G$77)/'CBS (CoE)'!L$2/10</f>
        <v>1.7789889455619612</v>
      </c>
      <c r="M14" s="203">
        <f t="shared" si="1"/>
        <v>9.7270773533356017E-2</v>
      </c>
      <c r="N14" s="289">
        <f>('CBS (Total)'!N12*'Performance &amp; Economics'!$G$77)/'CBS (CoE)'!N$2/10</f>
        <v>0.73717002628069495</v>
      </c>
      <c r="O14" s="203">
        <f t="shared" si="2"/>
        <v>5.5110024785242864E-2</v>
      </c>
      <c r="P14" s="289">
        <f>('CBS (Total)'!P12*'Performance &amp; Economics'!$G$77)/'CBS (CoE)'!P$2/10</f>
        <v>0.58943535141426773</v>
      </c>
      <c r="Q14" s="209">
        <f t="shared" si="3"/>
        <v>4.8105054487520151E-2</v>
      </c>
    </row>
    <row r="15" spans="1:19" s="107" customFormat="1" ht="15" outlineLevel="1" x14ac:dyDescent="0.25">
      <c r="A15" s="149" t="s">
        <v>9</v>
      </c>
      <c r="D15" s="107" t="s">
        <v>12</v>
      </c>
      <c r="I15" s="144"/>
      <c r="J15" s="290">
        <f>('CBS (Total)'!J13*'Performance &amp; Economics'!$G$77)/'CBS (CoE)'!J$2/10</f>
        <v>2.1864731880231214</v>
      </c>
      <c r="K15" s="207">
        <f t="shared" si="0"/>
        <v>4.3290172277756625E-2</v>
      </c>
      <c r="L15" s="290">
        <f>('CBS (Total)'!L13*'Performance &amp; Economics'!$G$77)/'CBS (CoE)'!L$2/10</f>
        <v>0.27422017899789985</v>
      </c>
      <c r="M15" s="207">
        <f t="shared" si="1"/>
        <v>1.4993690093535234E-2</v>
      </c>
      <c r="N15" s="290">
        <f>('CBS (Total)'!N13*'Performance &amp; Economics'!$G$77)/'CBS (CoE)'!N$2/10</f>
        <v>0.1329375698318058</v>
      </c>
      <c r="O15" s="207">
        <f t="shared" si="2"/>
        <v>9.9382673021639525E-3</v>
      </c>
      <c r="P15" s="290">
        <f>('CBS (Total)'!P13*'Performance &amp; Economics'!$G$77)/'CBS (CoE)'!P$2/10</f>
        <v>0.1329375698318058</v>
      </c>
      <c r="Q15" s="208">
        <f t="shared" si="3"/>
        <v>1.0849313711594831E-2</v>
      </c>
    </row>
    <row r="16" spans="1:19" s="107" customFormat="1" ht="15" outlineLevel="1" x14ac:dyDescent="0.25">
      <c r="A16" s="149" t="s">
        <v>11</v>
      </c>
      <c r="D16" s="107" t="s">
        <v>13</v>
      </c>
      <c r="I16" s="144"/>
      <c r="J16" s="290">
        <f>('CBS (Total)'!J14*'Performance &amp; Economics'!$G$77)/'CBS (CoE)'!J$2/10</f>
        <v>0.21864731880231214</v>
      </c>
      <c r="K16" s="207">
        <f t="shared" si="0"/>
        <v>4.329017227775663E-3</v>
      </c>
      <c r="L16" s="290">
        <f>('CBS (Total)'!L14*'Performance &amp; Economics'!$G$77)/'CBS (CoE)'!L$2/10</f>
        <v>2.7422017899789985E-2</v>
      </c>
      <c r="M16" s="207">
        <f t="shared" si="1"/>
        <v>1.4993690093535233E-3</v>
      </c>
      <c r="N16" s="290">
        <f>('CBS (Total)'!N14*'Performance &amp; Economics'!$G$77)/'CBS (CoE)'!N$2/10</f>
        <v>1.3293756983180579E-2</v>
      </c>
      <c r="O16" s="207">
        <f t="shared" si="2"/>
        <v>9.9382673021639512E-4</v>
      </c>
      <c r="P16" s="290">
        <f>('CBS (Total)'!P14*'Performance &amp; Economics'!$G$77)/'CBS (CoE)'!P$2/10</f>
        <v>1.3293756983180579E-2</v>
      </c>
      <c r="Q16" s="208">
        <f t="shared" si="3"/>
        <v>1.0849313711594831E-3</v>
      </c>
    </row>
    <row r="17" spans="1:27" s="107" customFormat="1" ht="15" outlineLevel="1" x14ac:dyDescent="0.25">
      <c r="A17" s="149" t="s">
        <v>14</v>
      </c>
      <c r="D17" s="107" t="s">
        <v>15</v>
      </c>
      <c r="I17" s="144"/>
      <c r="J17" s="290">
        <f>('CBS (Total)'!J15*'Performance &amp; Economics'!$G$77)/'CBS (CoE)'!J$2/10</f>
        <v>0</v>
      </c>
      <c r="K17" s="207">
        <f t="shared" si="0"/>
        <v>0</v>
      </c>
      <c r="L17" s="290">
        <f>('CBS (Total)'!L15*'Performance &amp; Economics'!$G$77)/'CBS (CoE)'!L$2/10</f>
        <v>0</v>
      </c>
      <c r="M17" s="207">
        <f t="shared" si="1"/>
        <v>0</v>
      </c>
      <c r="N17" s="290">
        <f>('CBS (Total)'!N15*'Performance &amp; Economics'!$G$77)/'CBS (CoE)'!N$2/10</f>
        <v>0</v>
      </c>
      <c r="O17" s="207">
        <f t="shared" si="2"/>
        <v>0</v>
      </c>
      <c r="P17" s="290">
        <f>('CBS (Total)'!P15*'Performance &amp; Economics'!$G$77)/'CBS (CoE)'!P$2/10</f>
        <v>0</v>
      </c>
      <c r="Q17" s="208">
        <f t="shared" si="3"/>
        <v>0</v>
      </c>
    </row>
    <row r="18" spans="1:27" s="107" customFormat="1" ht="15" outlineLevel="1" x14ac:dyDescent="0.25">
      <c r="A18" s="149" t="s">
        <v>16</v>
      </c>
      <c r="D18" s="107" t="s">
        <v>61</v>
      </c>
      <c r="I18" s="144"/>
      <c r="J18" s="290">
        <f>('CBS (Total)'!J16*'Performance &amp; Economics'!$G$77)/'CBS (CoE)'!J$2/10</f>
        <v>14.773467486642712</v>
      </c>
      <c r="K18" s="207">
        <f t="shared" si="0"/>
        <v>0.29250116403889614</v>
      </c>
      <c r="L18" s="290">
        <f>('CBS (Total)'!L16*'Performance &amp; Economics'!$G$77)/'CBS (CoE)'!L$2/10</f>
        <v>1.4773467486642713</v>
      </c>
      <c r="M18" s="207">
        <f t="shared" si="1"/>
        <v>8.077771443046726E-2</v>
      </c>
      <c r="N18" s="290">
        <f>('CBS (Total)'!N16*'Performance &amp; Economics'!$G$77)/'CBS (CoE)'!N$2/10</f>
        <v>0.59093869946570854</v>
      </c>
      <c r="O18" s="207">
        <f t="shared" si="2"/>
        <v>4.4177930752862513E-2</v>
      </c>
      <c r="P18" s="290">
        <f>('CBS (Total)'!P16*'Performance &amp; Economics'!$G$77)/'CBS (CoE)'!P$2/10</f>
        <v>0.44320402459928143</v>
      </c>
      <c r="Q18" s="208">
        <f t="shared" si="3"/>
        <v>3.6170809404765844E-2</v>
      </c>
    </row>
    <row r="19" spans="1:27" s="107" customFormat="1" ht="15" outlineLevel="1" x14ac:dyDescent="0.25">
      <c r="A19" s="149" t="s">
        <v>17</v>
      </c>
      <c r="D19" s="107" t="s">
        <v>18</v>
      </c>
      <c r="I19" s="144"/>
      <c r="J19" s="290">
        <f>('CBS (Total)'!J17*'Performance &amp; Economics'!$G$77)/'CBS (CoE)'!J$2/10</f>
        <v>0</v>
      </c>
      <c r="K19" s="207">
        <f t="shared" si="0"/>
        <v>0</v>
      </c>
      <c r="L19" s="290">
        <f>('CBS (Total)'!L17*'Performance &amp; Economics'!$G$77)/'CBS (CoE)'!L$2/10</f>
        <v>0</v>
      </c>
      <c r="M19" s="207">
        <f t="shared" si="1"/>
        <v>0</v>
      </c>
      <c r="N19" s="290">
        <f>('CBS (Total)'!N17*'Performance &amp; Economics'!$G$77)/'CBS (CoE)'!N$2/10</f>
        <v>0</v>
      </c>
      <c r="O19" s="207">
        <f t="shared" si="2"/>
        <v>0</v>
      </c>
      <c r="P19" s="290">
        <f>('CBS (Total)'!P17*'Performance &amp; Economics'!$G$77)/'CBS (CoE)'!P$2/10</f>
        <v>0</v>
      </c>
      <c r="Q19" s="208">
        <f t="shared" si="3"/>
        <v>0</v>
      </c>
    </row>
    <row r="20" spans="1:27" s="106" customFormat="1" ht="15" x14ac:dyDescent="0.25">
      <c r="A20" s="119">
        <v>1.3</v>
      </c>
      <c r="C20" s="106" t="s">
        <v>19</v>
      </c>
      <c r="I20" s="147"/>
      <c r="J20" s="289">
        <f>('CBS (Total)'!J18*'Performance &amp; Economics'!$G$77)/'CBS (CoE)'!J$2/10</f>
        <v>1.0936719839963494</v>
      </c>
      <c r="K20" s="203">
        <f t="shared" si="0"/>
        <v>2.1653706462947574E-2</v>
      </c>
      <c r="L20" s="289">
        <f>('CBS (Total)'!L18*'Performance &amp; Economics'!$G$77)/'CBS (CoE)'!L$2/10</f>
        <v>0.90380651675761337</v>
      </c>
      <c r="M20" s="203">
        <f t="shared" si="1"/>
        <v>4.9417934399659913E-2</v>
      </c>
      <c r="N20" s="289">
        <f>('CBS (Total)'!N18*'Performance &amp; Economics'!$G$77)/'CBS (CoE)'!N$2/10</f>
        <v>0.8855562348404229</v>
      </c>
      <c r="O20" s="203">
        <f t="shared" si="2"/>
        <v>6.6203215419666492E-2</v>
      </c>
      <c r="P20" s="289">
        <f>('CBS (Total)'!P18*'Performance &amp; Economics'!$G$77)/'CBS (CoE)'!P$2/10</f>
        <v>0.88371989283183316</v>
      </c>
      <c r="Q20" s="209">
        <f t="shared" si="3"/>
        <v>7.2122232734057531E-2</v>
      </c>
    </row>
    <row r="21" spans="1:27" s="107" customFormat="1" ht="15" outlineLevel="1" x14ac:dyDescent="0.25">
      <c r="A21" s="149" t="s">
        <v>20</v>
      </c>
      <c r="D21" s="107" t="s">
        <v>21</v>
      </c>
      <c r="I21" s="144"/>
      <c r="J21" s="290">
        <f>('CBS (Total)'!J19*'Performance &amp; Economics'!$G$77)/'CBS (CoE)'!J$2/10</f>
        <v>0.71400245913954663</v>
      </c>
      <c r="K21" s="207">
        <f t="shared" si="0"/>
        <v>1.4136596612391665E-2</v>
      </c>
      <c r="L21" s="290">
        <f>('CBS (Total)'!L19*'Performance &amp; Economics'!$G$77)/'CBS (CoE)'!L$2/10</f>
        <v>0.71400245913954663</v>
      </c>
      <c r="M21" s="207">
        <f t="shared" si="1"/>
        <v>3.903991178724453E-2</v>
      </c>
      <c r="N21" s="290">
        <f>('CBS (Total)'!N19*'Performance &amp; Economics'!$G$77)/'CBS (CoE)'!N$2/10</f>
        <v>0.71400245913954674</v>
      </c>
      <c r="O21" s="207">
        <f t="shared" si="2"/>
        <v>5.3378042808433217E-2</v>
      </c>
      <c r="P21" s="290">
        <f>('CBS (Total)'!P19*'Performance &amp; Economics'!$G$77)/'CBS (CoE)'!P$2/10</f>
        <v>0.71400245913954674</v>
      </c>
      <c r="Q21" s="208">
        <f t="shared" si="3"/>
        <v>5.8271237242082857E-2</v>
      </c>
    </row>
    <row r="22" spans="1:27" s="107" customFormat="1" ht="15" outlineLevel="1" x14ac:dyDescent="0.25">
      <c r="A22" s="149" t="s">
        <v>22</v>
      </c>
      <c r="D22" s="107" t="s">
        <v>23</v>
      </c>
      <c r="I22" s="144"/>
      <c r="J22" s="290">
        <f>('CBS (Total)'!J20*'Performance &amp; Economics'!$G$77)/'CBS (CoE)'!J$2/10</f>
        <v>0.28024479903895272</v>
      </c>
      <c r="K22" s="207">
        <f t="shared" si="0"/>
        <v>5.548591081197039E-3</v>
      </c>
      <c r="L22" s="290">
        <f>('CBS (Total)'!L20*'Performance &amp; Economics'!$G$77)/'CBS (CoE)'!L$2/10</f>
        <v>0.10763982882192016</v>
      </c>
      <c r="M22" s="207">
        <f t="shared" si="1"/>
        <v>5.8854831215372121E-3</v>
      </c>
      <c r="N22" s="290">
        <f>('CBS (Total)'!N20*'Performance &amp; Economics'!$G$77)/'CBS (CoE)'!N$2/10</f>
        <v>9.1048663442655914E-2</v>
      </c>
      <c r="O22" s="207">
        <f t="shared" si="2"/>
        <v>6.8066984821726836E-3</v>
      </c>
      <c r="P22" s="290">
        <f>('CBS (Total)'!P20*'Performance &amp; Economics'!$G$77)/'CBS (CoE)'!P$2/10</f>
        <v>8.937926161666529E-2</v>
      </c>
      <c r="Q22" s="208">
        <f t="shared" si="3"/>
        <v>7.2944288797876251E-3</v>
      </c>
    </row>
    <row r="23" spans="1:27" s="107" customFormat="1" ht="15" outlineLevel="1" x14ac:dyDescent="0.25">
      <c r="A23" s="149" t="s">
        <v>24</v>
      </c>
      <c r="D23" s="107" t="s">
        <v>25</v>
      </c>
      <c r="I23" s="144"/>
      <c r="J23" s="290">
        <f>('CBS (Total)'!J21*'Performance &amp; Economics'!$G$77)/'CBS (CoE)'!J$2/10</f>
        <v>0</v>
      </c>
      <c r="K23" s="207">
        <f t="shared" si="0"/>
        <v>0</v>
      </c>
      <c r="L23" s="290">
        <f>('CBS (Total)'!L21*'Performance &amp; Economics'!$G$77)/'CBS (CoE)'!L$2/10</f>
        <v>0</v>
      </c>
      <c r="M23" s="207">
        <f t="shared" si="1"/>
        <v>0</v>
      </c>
      <c r="N23" s="290">
        <f>('CBS (Total)'!N21*'Performance &amp; Economics'!$G$77)/'CBS (CoE)'!N$2/10</f>
        <v>0</v>
      </c>
      <c r="O23" s="207">
        <f t="shared" si="2"/>
        <v>0</v>
      </c>
      <c r="P23" s="290">
        <f>('CBS (Total)'!P21*'Performance &amp; Economics'!$G$77)/'CBS (CoE)'!P$2/10</f>
        <v>0</v>
      </c>
      <c r="Q23" s="208">
        <f t="shared" si="3"/>
        <v>0</v>
      </c>
    </row>
    <row r="24" spans="1:27" s="107" customFormat="1" ht="15" outlineLevel="1" x14ac:dyDescent="0.25">
      <c r="A24" s="149" t="s">
        <v>26</v>
      </c>
      <c r="D24" s="107" t="s">
        <v>27</v>
      </c>
      <c r="I24" s="144"/>
      <c r="J24" s="290">
        <f>('CBS (Total)'!J22*'Performance &amp; Economics'!$G$77)/'CBS (CoE)'!J$2/10</f>
        <v>9.9424725817849932E-2</v>
      </c>
      <c r="K24" s="207">
        <f t="shared" si="0"/>
        <v>1.9685187693588703E-3</v>
      </c>
      <c r="L24" s="290">
        <f>('CBS (Total)'!L22*'Performance &amp; Economics'!$G$77)/'CBS (CoE)'!L$2/10</f>
        <v>8.2164228796146682E-2</v>
      </c>
      <c r="M24" s="207">
        <f t="shared" si="1"/>
        <v>4.4925394908781743E-3</v>
      </c>
      <c r="N24" s="290">
        <f>('CBS (Total)'!N22*'Performance &amp; Economics'!$G$77)/'CBS (CoE)'!N$2/10</f>
        <v>8.0505112258220268E-2</v>
      </c>
      <c r="O24" s="207">
        <f t="shared" si="2"/>
        <v>6.0184741290605906E-3</v>
      </c>
      <c r="P24" s="290">
        <f>('CBS (Total)'!P22*'Performance &amp; Economics'!$G$77)/'CBS (CoE)'!P$2/10</f>
        <v>8.0338172075621203E-2</v>
      </c>
      <c r="Q24" s="208">
        <f t="shared" si="3"/>
        <v>6.5565666121870482E-3</v>
      </c>
      <c r="R24" s="221"/>
    </row>
    <row r="25" spans="1:27" s="107" customFormat="1" ht="15" outlineLevel="1" x14ac:dyDescent="0.25">
      <c r="A25" s="149" t="s">
        <v>28</v>
      </c>
      <c r="D25" s="107" t="s">
        <v>18</v>
      </c>
      <c r="I25" s="144"/>
      <c r="J25" s="290">
        <f>('CBS (Total)'!J23*'Performance &amp; Economics'!$G$77)/'CBS (CoE)'!J$2/10</f>
        <v>0</v>
      </c>
      <c r="K25" s="207">
        <f t="shared" si="0"/>
        <v>0</v>
      </c>
      <c r="L25" s="290">
        <f>('CBS (Total)'!L23*'Performance &amp; Economics'!$G$77)/'CBS (CoE)'!L$2/10</f>
        <v>0</v>
      </c>
      <c r="M25" s="207">
        <f t="shared" si="1"/>
        <v>0</v>
      </c>
      <c r="N25" s="290">
        <f>('CBS (Total)'!N23*'Performance &amp; Economics'!$G$77)/'CBS (CoE)'!N$2/10</f>
        <v>0</v>
      </c>
      <c r="O25" s="207">
        <f t="shared" si="2"/>
        <v>0</v>
      </c>
      <c r="P25" s="290">
        <f>('CBS (Total)'!P23*'Performance &amp; Economics'!$G$77)/'CBS (CoE)'!P$2/10</f>
        <v>0</v>
      </c>
      <c r="Q25" s="208">
        <f t="shared" si="3"/>
        <v>0</v>
      </c>
      <c r="R25" s="206"/>
      <c r="S25" s="206"/>
      <c r="T25" s="206"/>
      <c r="U25" s="206"/>
    </row>
    <row r="26" spans="1:27" s="106" customFormat="1" ht="15" x14ac:dyDescent="0.25">
      <c r="A26" s="119">
        <v>1.4</v>
      </c>
      <c r="C26" s="106" t="s">
        <v>29</v>
      </c>
      <c r="I26" s="234">
        <f>SUM(I27:I31)</f>
        <v>1689.3025</v>
      </c>
      <c r="J26" s="289">
        <f>('CBS (Total)'!J24*'Performance &amp; Economics'!$G$77)/'CBS (CoE)'!J$2/10</f>
        <v>4.3611372790732448</v>
      </c>
      <c r="K26" s="203">
        <f t="shared" si="0"/>
        <v>8.6346535220367449E-2</v>
      </c>
      <c r="L26" s="289">
        <f>('CBS (Total)'!L24*'Performance &amp; Economics'!$G$77)/'CBS (CoE)'!L$2/10</f>
        <v>2.8848351339908977</v>
      </c>
      <c r="M26" s="203">
        <f t="shared" si="1"/>
        <v>0.15773574405818244</v>
      </c>
      <c r="N26" s="289">
        <f>('CBS (Total)'!N24*'Performance &amp; Economics'!$G$77)/'CBS (CoE)'!N$2/10</f>
        <v>2.4570777551393941</v>
      </c>
      <c r="O26" s="203">
        <f t="shared" si="2"/>
        <v>0.18368844521282868</v>
      </c>
      <c r="P26" s="289">
        <f>('CBS (Total)'!P24*'Performance &amp; Economics'!$G$77)/'CBS (CoE)'!P$2/10</f>
        <v>2.3428889601640619</v>
      </c>
      <c r="Q26" s="209">
        <f t="shared" si="3"/>
        <v>0.19120807874261733</v>
      </c>
      <c r="R26" s="212"/>
      <c r="S26" s="212"/>
      <c r="T26" s="212"/>
      <c r="U26" s="212"/>
      <c r="V26" s="213"/>
      <c r="W26" s="212"/>
      <c r="X26" s="212"/>
      <c r="Y26" s="212"/>
    </row>
    <row r="27" spans="1:27" s="107" customFormat="1" ht="15" outlineLevel="1" x14ac:dyDescent="0.25">
      <c r="A27" s="149" t="s">
        <v>30</v>
      </c>
      <c r="D27" s="107" t="str">
        <f>'1.4'!D4</f>
        <v>Wing</v>
      </c>
      <c r="I27" s="277">
        <f>'1.4'!E23</f>
        <v>1170.6500000000001</v>
      </c>
      <c r="J27" s="290">
        <f>('CBS (Total)'!J25*'Performance &amp; Economics'!$G$77)/'CBS (CoE)'!J$2/10</f>
        <v>2.8496634222573314</v>
      </c>
      <c r="K27" s="207">
        <f t="shared" si="0"/>
        <v>5.642073324241325E-2</v>
      </c>
      <c r="L27" s="290">
        <f>('CBS (Total)'!L25*'Performance &amp; Economics'!$G$77)/'CBS (CoE)'!L$2/10</f>
        <v>1.8822128672190241</v>
      </c>
      <c r="M27" s="207">
        <f t="shared" si="1"/>
        <v>0.10291480562910203</v>
      </c>
      <c r="N27" s="290">
        <f>('CBS (Total)'!N25*'Performance &amp; Economics'!$G$77)/'CBS (CoE)'!N$2/10</f>
        <v>1.6025428021161503</v>
      </c>
      <c r="O27" s="207">
        <f t="shared" si="2"/>
        <v>0.11980434688808836</v>
      </c>
      <c r="P27" s="290">
        <f>('CBS (Total)'!P25*'Performance &amp; Economics'!$G$77)/'CBS (CoE)'!P$2/10</f>
        <v>1.5278358250828989</v>
      </c>
      <c r="Q27" s="208">
        <f t="shared" si="3"/>
        <v>0.12468988403436149</v>
      </c>
      <c r="R27" s="276"/>
      <c r="S27" s="276"/>
      <c r="T27" s="276"/>
      <c r="U27" s="276"/>
      <c r="V27" s="206"/>
      <c r="W27" s="206"/>
      <c r="X27" s="206"/>
      <c r="Y27" s="206"/>
      <c r="AA27" s="221"/>
    </row>
    <row r="28" spans="1:27" s="107" customFormat="1" ht="15" outlineLevel="1" x14ac:dyDescent="0.25">
      <c r="A28" s="149" t="s">
        <v>31</v>
      </c>
      <c r="D28" s="107" t="str">
        <f>'1.4'!D5</f>
        <v>PTO and Power Electronics Nacelle</v>
      </c>
      <c r="I28" s="277">
        <f>'1.4'!E36</f>
        <v>118.77</v>
      </c>
      <c r="J28" s="290">
        <f>('CBS (Total)'!J26*'Performance &amp; Economics'!$G$77)/'CBS (CoE)'!J$2/10</f>
        <v>0.34465781668744766</v>
      </c>
      <c r="K28" s="207">
        <f t="shared" si="0"/>
        <v>6.8239100040211852E-3</v>
      </c>
      <c r="L28" s="290">
        <f>('CBS (Total)'!L26*'Performance &amp; Economics'!$G$77)/'CBS (CoE)'!L$2/10</f>
        <v>0.22511389055117484</v>
      </c>
      <c r="M28" s="207">
        <f t="shared" si="1"/>
        <v>1.2308678095860243E-2</v>
      </c>
      <c r="N28" s="290">
        <f>('CBS (Total)'!N26*'Performance &amp; Economics'!$G$77)/'CBS (CoE)'!N$2/10</f>
        <v>0.18968872245839163</v>
      </c>
      <c r="O28" s="207">
        <f t="shared" si="2"/>
        <v>1.418092139327231E-2</v>
      </c>
      <c r="P28" s="290">
        <f>('CBS (Total)'!P26*'Performance &amp; Economics'!$G$77)/'CBS (CoE)'!P$2/10</f>
        <v>0.17985381714538407</v>
      </c>
      <c r="Q28" s="208">
        <f t="shared" si="3"/>
        <v>1.4678246991477887E-2</v>
      </c>
      <c r="R28" s="276"/>
      <c r="S28" s="276"/>
      <c r="T28" s="276"/>
      <c r="U28" s="276"/>
      <c r="V28" s="206"/>
      <c r="W28" s="206"/>
      <c r="X28" s="206"/>
      <c r="Y28" s="206"/>
    </row>
    <row r="29" spans="1:27" s="107" customFormat="1" ht="15" outlineLevel="1" x14ac:dyDescent="0.25">
      <c r="A29" s="149" t="s">
        <v>32</v>
      </c>
      <c r="D29" s="107" t="str">
        <f>'1.4'!D6</f>
        <v>Fairing</v>
      </c>
      <c r="I29" s="277">
        <f>'1.4'!E48</f>
        <v>176.83</v>
      </c>
      <c r="J29" s="290">
        <f>('CBS (Total)'!J27*'Performance &amp; Economics'!$G$77)/'CBS (CoE)'!J$2/10</f>
        <v>0.35738347514231134</v>
      </c>
      <c r="K29" s="207">
        <f t="shared" si="0"/>
        <v>7.0758664194378439E-3</v>
      </c>
      <c r="L29" s="290">
        <f>('CBS (Total)'!L27*'Performance &amp; Economics'!$G$77)/'CBS (CoE)'!L$2/10</f>
        <v>0.24882721364261609</v>
      </c>
      <c r="M29" s="207">
        <f t="shared" si="1"/>
        <v>1.3605264724970662E-2</v>
      </c>
      <c r="N29" s="290">
        <f>('CBS (Total)'!N27*'Performance &amp; Economics'!$G$77)/'CBS (CoE)'!N$2/10</f>
        <v>0.2193132024014445</v>
      </c>
      <c r="O29" s="207">
        <f t="shared" si="2"/>
        <v>1.6395615108029941E-2</v>
      </c>
      <c r="P29" s="290">
        <f>('CBS (Total)'!P27*'Performance &amp; Economics'!$G$77)/'CBS (CoE)'!P$2/10</f>
        <v>0.21267365180819903</v>
      </c>
      <c r="Q29" s="208">
        <f t="shared" si="3"/>
        <v>1.7356742488800887E-2</v>
      </c>
      <c r="R29" s="276"/>
      <c r="S29" s="276"/>
      <c r="T29" s="276"/>
      <c r="U29" s="276"/>
      <c r="V29" s="206"/>
      <c r="W29" s="206"/>
      <c r="X29" s="206"/>
      <c r="Y29" s="206"/>
    </row>
    <row r="30" spans="1:27" s="107" customFormat="1" ht="15" outlineLevel="1" x14ac:dyDescent="0.25">
      <c r="A30" s="149" t="s">
        <v>33</v>
      </c>
      <c r="D30" s="107" t="str">
        <f>'1.4'!D7</f>
        <v>Device Access (Railings, Ladders, etc)</v>
      </c>
      <c r="I30" s="277">
        <f>'1.4'!E58</f>
        <v>73.3125</v>
      </c>
      <c r="J30" s="290">
        <f>('CBS (Total)'!J28*'Performance &amp; Economics'!$G$77)/'CBS (CoE)'!J$2/10</f>
        <v>0.35517047140870905</v>
      </c>
      <c r="K30" s="207">
        <f t="shared" si="0"/>
        <v>7.0320509665872284E-3</v>
      </c>
      <c r="L30" s="290">
        <f>('CBS (Total)'!L28*'Performance &amp; Economics'!$G$77)/'CBS (CoE)'!L$2/10</f>
        <v>0.2362942420050019</v>
      </c>
      <c r="M30" s="207">
        <f t="shared" si="1"/>
        <v>1.2919992425272787E-2</v>
      </c>
      <c r="N30" s="290">
        <f>('CBS (Total)'!N28*'Performance &amp; Economics'!$G$77)/'CBS (CoE)'!N$2/10</f>
        <v>0.20161654272281457</v>
      </c>
      <c r="O30" s="207">
        <f t="shared" si="2"/>
        <v>1.5072632188572566E-2</v>
      </c>
      <c r="P30" s="290">
        <f>('CBS (Total)'!P28*'Performance &amp; Economics'!$G$77)/'CBS (CoE)'!P$2/10</f>
        <v>0.19244266130165999</v>
      </c>
      <c r="Q30" s="208">
        <f t="shared" si="3"/>
        <v>1.5705648949333878E-2</v>
      </c>
    </row>
    <row r="31" spans="1:27" s="107" customFormat="1" ht="15" outlineLevel="1" x14ac:dyDescent="0.25">
      <c r="A31" s="149" t="s">
        <v>76</v>
      </c>
      <c r="D31" s="107" t="str">
        <f>'1.4'!D8</f>
        <v>Buoyancy Tank</v>
      </c>
      <c r="I31" s="277">
        <f>'1.4'!E70</f>
        <v>149.74</v>
      </c>
      <c r="J31" s="290">
        <f>('CBS (Total)'!J29*'Performance &amp; Economics'!$G$77)/'CBS (CoE)'!J$2/10</f>
        <v>0.45426209357744501</v>
      </c>
      <c r="K31" s="207">
        <f t="shared" si="0"/>
        <v>8.9939745879079325E-3</v>
      </c>
      <c r="L31" s="290">
        <f>('CBS (Total)'!L29*'Performance &amp; Economics'!$G$77)/'CBS (CoE)'!L$2/10</f>
        <v>0.29238692057308008</v>
      </c>
      <c r="M31" s="207">
        <f t="shared" si="1"/>
        <v>1.5987003182976696E-2</v>
      </c>
      <c r="N31" s="290">
        <f>('CBS (Total)'!N29*'Performance &amp; Economics'!$G$77)/'CBS (CoE)'!N$2/10</f>
        <v>0.24391648544059291</v>
      </c>
      <c r="O31" s="207">
        <f t="shared" si="2"/>
        <v>1.8234929634865477E-2</v>
      </c>
      <c r="P31" s="290">
        <f>('CBS (Total)'!P29*'Performance &amp; Economics'!$G$77)/'CBS (CoE)'!P$2/10</f>
        <v>0.23008300482591962</v>
      </c>
      <c r="Q31" s="208">
        <f t="shared" si="3"/>
        <v>1.8777556278643168E-2</v>
      </c>
      <c r="R31" s="276"/>
      <c r="S31" s="276"/>
      <c r="T31" s="276"/>
      <c r="U31" s="276"/>
    </row>
    <row r="32" spans="1:27" s="106" customFormat="1" ht="15" x14ac:dyDescent="0.25">
      <c r="A32" s="119">
        <v>1.5</v>
      </c>
      <c r="C32" s="106" t="s">
        <v>34</v>
      </c>
      <c r="I32" s="234">
        <f>SUM(I33:I45)</f>
        <v>673.55404081632639</v>
      </c>
      <c r="J32" s="289">
        <f>('CBS (Total)'!J30*'Performance &amp; Economics'!$G$77)/'CBS (CoE)'!J$2/10</f>
        <v>10.648146729414368</v>
      </c>
      <c r="K32" s="203">
        <f t="shared" si="0"/>
        <v>0.21082358058639236</v>
      </c>
      <c r="L32" s="289">
        <f>('CBS (Total)'!L30*'Performance &amp; Economics'!$G$77)/'CBS (CoE)'!L$2/10</f>
        <v>7.4062635285612632</v>
      </c>
      <c r="M32" s="203">
        <f t="shared" si="1"/>
        <v>0.40495641314256009</v>
      </c>
      <c r="N32" s="289">
        <f>('CBS (Total)'!N30*'Performance &amp; Economics'!$G$77)/'CBS (CoE)'!N$2/10</f>
        <v>5.917081218381167</v>
      </c>
      <c r="O32" s="203">
        <f t="shared" si="2"/>
        <v>0.4423545192776388</v>
      </c>
      <c r="P32" s="289">
        <f>('CBS (Total)'!P30*'Performance &amp; Economics'!$G$77)/'CBS (CoE)'!P$2/10</f>
        <v>5.4104532799449458</v>
      </c>
      <c r="Q32" s="209">
        <f t="shared" si="3"/>
        <v>0.44155843250570548</v>
      </c>
    </row>
    <row r="33" spans="1:18" s="107" customFormat="1" ht="15" outlineLevel="1" x14ac:dyDescent="0.25">
      <c r="A33" s="149" t="s">
        <v>35</v>
      </c>
      <c r="D33" s="107" t="s">
        <v>36</v>
      </c>
      <c r="I33" s="277">
        <f>'1.5'!L4/1000</f>
        <v>20.952380952380949</v>
      </c>
      <c r="J33" s="290">
        <f>('CBS (Total)'!J31*'Performance &amp; Economics'!$G$77)/'CBS (CoE)'!J$2/10</f>
        <v>0.69730766536953603</v>
      </c>
      <c r="K33" s="207">
        <f t="shared" si="0"/>
        <v>1.3806054942635898E-2</v>
      </c>
      <c r="L33" s="290">
        <f>('CBS (Total)'!L31*'Performance &amp; Economics'!$G$77)/'CBS (CoE)'!L$2/10</f>
        <v>0.35267652177374448</v>
      </c>
      <c r="M33" s="207">
        <f t="shared" si="1"/>
        <v>1.9283491426726675E-2</v>
      </c>
      <c r="N33" s="290">
        <f>('CBS (Total)'!N31*'Performance &amp; Economics'!$G$77)/'CBS (CoE)'!N$2/10</f>
        <v>0.21900193583930577</v>
      </c>
      <c r="O33" s="207">
        <f t="shared" si="2"/>
        <v>1.6372345160334388E-2</v>
      </c>
      <c r="P33" s="290">
        <f>('CBS (Total)'!P31*'Performance &amp; Economics'!$G$77)/'CBS (CoE)'!P$2/10</f>
        <v>0.17837281186993875</v>
      </c>
      <c r="Q33" s="208">
        <f t="shared" si="3"/>
        <v>1.4557379046756448E-2</v>
      </c>
    </row>
    <row r="34" spans="1:18" s="107" customFormat="1" ht="15" outlineLevel="1" x14ac:dyDescent="0.25">
      <c r="A34" s="149" t="s">
        <v>37</v>
      </c>
      <c r="D34" s="107" t="s">
        <v>74</v>
      </c>
      <c r="I34" s="277">
        <f>'1.5'!L5/1000</f>
        <v>321.65532879818591</v>
      </c>
      <c r="J34" s="290">
        <f>('CBS (Total)'!J32*'Performance &amp; Economics'!$G$77)/'CBS (CoE)'!J$2/10</f>
        <v>3.5582635376675631</v>
      </c>
      <c r="K34" s="207">
        <f t="shared" si="0"/>
        <v>7.0450368382774631E-2</v>
      </c>
      <c r="L34" s="290">
        <f>('CBS (Total)'!L32*'Performance &amp; Economics'!$G$77)/'CBS (CoE)'!L$2/10</f>
        <v>2.1795443802999115</v>
      </c>
      <c r="M34" s="207">
        <f t="shared" si="1"/>
        <v>0.11917216706205072</v>
      </c>
      <c r="N34" s="290">
        <f>('CBS (Total)'!N32*'Performance &amp; Economics'!$G$77)/'CBS (CoE)'!N$2/10</f>
        <v>1.547299191759087</v>
      </c>
      <c r="O34" s="207">
        <f t="shared" si="2"/>
        <v>0.1156743950079711</v>
      </c>
      <c r="P34" s="290">
        <f>('CBS (Total)'!P32*'Performance &amp; Economics'!$G$77)/'CBS (CoE)'!P$2/10</f>
        <v>1.335037063840081</v>
      </c>
      <c r="Q34" s="208">
        <f t="shared" si="3"/>
        <v>0.10895517302244297</v>
      </c>
    </row>
    <row r="35" spans="1:18" s="107" customFormat="1" ht="15" outlineLevel="1" x14ac:dyDescent="0.25">
      <c r="A35" s="149" t="s">
        <v>38</v>
      </c>
      <c r="D35" s="107" t="s">
        <v>40</v>
      </c>
      <c r="I35" s="277">
        <f>'1.5'!L6/1000</f>
        <v>0</v>
      </c>
      <c r="J35" s="290">
        <f>('CBS (Total)'!J33*'Performance &amp; Economics'!$G$77)/'CBS (CoE)'!J$2/10</f>
        <v>4.6175293377695506E-2</v>
      </c>
      <c r="K35" s="207">
        <f t="shared" si="0"/>
        <v>9.1422863826823883E-4</v>
      </c>
      <c r="L35" s="290">
        <f>('CBS (Total)'!L33*'Performance &amp; Economics'!$G$77)/'CBS (CoE)'!L$2/10</f>
        <v>3.8941177719963811E-2</v>
      </c>
      <c r="M35" s="207">
        <f t="shared" si="1"/>
        <v>2.1292085533023007E-3</v>
      </c>
      <c r="N35" s="290">
        <f>('CBS (Total)'!N33*'Performance &amp; Economics'!$G$77)/'CBS (CoE)'!N$2/10</f>
        <v>3.4568847065239258E-2</v>
      </c>
      <c r="O35" s="207">
        <f t="shared" si="2"/>
        <v>2.5843291922414617E-3</v>
      </c>
      <c r="P35" s="290">
        <f>('CBS (Total)'!P33*'Performance &amp; Economics'!$G$77)/'CBS (CoE)'!P$2/10</f>
        <v>3.2840404711977293E-2</v>
      </c>
      <c r="Q35" s="208">
        <f t="shared" si="3"/>
        <v>2.6801742621500343E-3</v>
      </c>
    </row>
    <row r="36" spans="1:18" s="107" customFormat="1" ht="15" outlineLevel="1" x14ac:dyDescent="0.25">
      <c r="A36" s="149" t="s">
        <v>39</v>
      </c>
      <c r="D36" s="107" t="s">
        <v>41</v>
      </c>
      <c r="I36" s="277">
        <f>'1.5'!L7/1000</f>
        <v>9.0376417233560105</v>
      </c>
      <c r="J36" s="290">
        <f>('CBS (Total)'!J34*'Performance &amp; Economics'!$G$77)/'CBS (CoE)'!J$2/10</f>
        <v>0.49244891622142378</v>
      </c>
      <c r="K36" s="207">
        <f t="shared" si="0"/>
        <v>9.7500388012965386E-3</v>
      </c>
      <c r="L36" s="290">
        <f>('CBS (Total)'!L34*'Performance &amp; Economics'!$G$77)/'CBS (CoE)'!L$2/10</f>
        <v>0.32229511833124447</v>
      </c>
      <c r="M36" s="207">
        <f t="shared" si="1"/>
        <v>1.7622310438922716E-2</v>
      </c>
      <c r="N36" s="290">
        <f>('CBS (Total)'!N34*'Performance &amp; Economics'!$G$77)/'CBS (CoE)'!N$2/10</f>
        <v>0.23964486988341399</v>
      </c>
      <c r="O36" s="207">
        <f t="shared" si="2"/>
        <v>1.7915588328468516E-2</v>
      </c>
      <c r="P36" s="290">
        <f>('CBS (Total)'!P34*'Performance &amp; Economics'!$G$77)/'CBS (CoE)'!P$2/10</f>
        <v>0.21093384486898761</v>
      </c>
      <c r="Q36" s="208">
        <f t="shared" si="3"/>
        <v>1.7214753197850284E-2</v>
      </c>
    </row>
    <row r="37" spans="1:18" s="107" customFormat="1" ht="15" outlineLevel="1" x14ac:dyDescent="0.25">
      <c r="A37" s="149" t="s">
        <v>42</v>
      </c>
      <c r="D37" s="107" t="s">
        <v>43</v>
      </c>
      <c r="I37" s="277">
        <f>'1.5'!L8/1000</f>
        <v>24.943310657596371</v>
      </c>
      <c r="J37" s="290">
        <f>('CBS (Total)'!J35*'Performance &amp; Economics'!$G$77)/'CBS (CoE)'!J$2/10</f>
        <v>0.43089280169374578</v>
      </c>
      <c r="K37" s="207">
        <f t="shared" si="0"/>
        <v>8.5312839511344704E-3</v>
      </c>
      <c r="L37" s="290">
        <f>('CBS (Total)'!L35*'Performance &amp; Economics'!$G$77)/'CBS (CoE)'!L$2/10</f>
        <v>0.36338639002810158</v>
      </c>
      <c r="M37" s="207">
        <f t="shared" si="1"/>
        <v>1.9869080883108917E-2</v>
      </c>
      <c r="N37" s="290">
        <f>('CBS (Total)'!N35*'Performance &amp; Economics'!$G$77)/'CBS (CoE)'!N$2/10</f>
        <v>0.32258522412461088</v>
      </c>
      <c r="O37" s="207">
        <f t="shared" si="2"/>
        <v>2.4116118484300876E-2</v>
      </c>
      <c r="P37" s="290">
        <f>('CBS (Total)'!P35*'Performance &amp; Economics'!$G$77)/'CBS (CoE)'!P$2/10</f>
        <v>0.30645596291838034</v>
      </c>
      <c r="Q37" s="208">
        <f t="shared" si="3"/>
        <v>2.5010513466561819E-2</v>
      </c>
    </row>
    <row r="38" spans="1:18" s="107" customFormat="1" ht="15" outlineLevel="1" x14ac:dyDescent="0.25">
      <c r="A38" s="149" t="s">
        <v>44</v>
      </c>
      <c r="D38" s="107" t="s">
        <v>45</v>
      </c>
      <c r="I38" s="277">
        <f>'1.5'!L9/1000</f>
        <v>0</v>
      </c>
      <c r="J38" s="290">
        <f>('CBS (Total)'!J36*'Performance &amp; Economics'!$G$77)/'CBS (CoE)'!J$2/10</f>
        <v>0.21273793180765505</v>
      </c>
      <c r="K38" s="207">
        <f t="shared" si="0"/>
        <v>4.212016762160104E-3</v>
      </c>
      <c r="L38" s="290">
        <f>('CBS (Total)'!L36*'Performance &amp; Economics'!$G$77)/'CBS (CoE)'!L$2/10</f>
        <v>0.19892922338008007</v>
      </c>
      <c r="M38" s="207">
        <f t="shared" si="1"/>
        <v>1.0876964404327834E-2</v>
      </c>
      <c r="N38" s="290">
        <f>('CBS (Total)'!N36*'Performance &amp; Economics'!$G$77)/'CBS (CoE)'!N$2/10</f>
        <v>0.18981309288711032</v>
      </c>
      <c r="O38" s="207">
        <f t="shared" si="2"/>
        <v>1.4190219190476326E-2</v>
      </c>
      <c r="P38" s="290">
        <f>('CBS (Total)'!P36*'Performance &amp; Economics'!$G$77)/'CBS (CoE)'!P$2/10</f>
        <v>0.18601683102936808</v>
      </c>
      <c r="Q38" s="208">
        <f t="shared" si="3"/>
        <v>1.5181223472248935E-2</v>
      </c>
    </row>
    <row r="39" spans="1:18" s="107" customFormat="1" ht="15" outlineLevel="1" x14ac:dyDescent="0.25">
      <c r="A39" s="149" t="s">
        <v>46</v>
      </c>
      <c r="D39" s="107" t="s">
        <v>47</v>
      </c>
      <c r="I39" s="277">
        <f>'1.5'!L10/1000</f>
        <v>0</v>
      </c>
      <c r="J39" s="290">
        <f>('CBS (Total)'!J37*'Performance &amp; Economics'!$G$77)/'CBS (CoE)'!J$2/10</f>
        <v>0</v>
      </c>
      <c r="K39" s="207">
        <f t="shared" si="0"/>
        <v>0</v>
      </c>
      <c r="L39" s="290">
        <f>('CBS (Total)'!L37*'Performance &amp; Economics'!$G$77)/'CBS (CoE)'!L$2/10</f>
        <v>0</v>
      </c>
      <c r="M39" s="207">
        <f t="shared" si="1"/>
        <v>0</v>
      </c>
      <c r="N39" s="290">
        <f>('CBS (Total)'!N37*'Performance &amp; Economics'!$G$77)/'CBS (CoE)'!N$2/10</f>
        <v>0</v>
      </c>
      <c r="O39" s="207">
        <f t="shared" si="2"/>
        <v>0</v>
      </c>
      <c r="P39" s="290">
        <f>('CBS (Total)'!P37*'Performance &amp; Economics'!$G$77)/'CBS (CoE)'!P$2/10</f>
        <v>0</v>
      </c>
      <c r="Q39" s="208">
        <f t="shared" si="3"/>
        <v>0</v>
      </c>
    </row>
    <row r="40" spans="1:18" s="107" customFormat="1" ht="15" outlineLevel="1" x14ac:dyDescent="0.25">
      <c r="A40" s="149" t="s">
        <v>48</v>
      </c>
      <c r="D40" s="107" t="s">
        <v>62</v>
      </c>
      <c r="I40" s="277">
        <f>'1.5'!L11/1000</f>
        <v>39.267682539682546</v>
      </c>
      <c r="J40" s="290">
        <f>('CBS (Total)'!J38*'Performance &amp; Economics'!$G$77)/'CBS (CoE)'!J$2/10</f>
        <v>0.98765357657802277</v>
      </c>
      <c r="K40" s="207">
        <f t="shared" si="0"/>
        <v>1.9554638819725134E-2</v>
      </c>
      <c r="L40" s="290">
        <f>('CBS (Total)'!L38*'Performance &amp; Economics'!$G$77)/'CBS (CoE)'!L$2/10</f>
        <v>0.94125340700859594</v>
      </c>
      <c r="M40" s="207">
        <f t="shared" si="1"/>
        <v>5.1465438961292333E-2</v>
      </c>
      <c r="N40" s="290">
        <f>('CBS (Total)'!N38*'Performance &amp; Economics'!$G$77)/'CBS (CoE)'!N$2/10</f>
        <v>0.91012161843189998</v>
      </c>
      <c r="O40" s="207">
        <f t="shared" si="2"/>
        <v>6.8039696625251764E-2</v>
      </c>
      <c r="P40" s="290">
        <f>('CBS (Total)'!P38*'Performance &amp; Economics'!$G$77)/'CBS (CoE)'!P$2/10</f>
        <v>0.89703312701495608</v>
      </c>
      <c r="Q40" s="208">
        <f t="shared" si="3"/>
        <v>7.3208753680328587E-2</v>
      </c>
    </row>
    <row r="41" spans="1:18" s="107" customFormat="1" ht="15" outlineLevel="1" x14ac:dyDescent="0.25">
      <c r="A41" s="149" t="s">
        <v>63</v>
      </c>
      <c r="D41" s="107" t="s">
        <v>64</v>
      </c>
      <c r="I41" s="277">
        <f>'1.5'!L12/1000</f>
        <v>0</v>
      </c>
      <c r="J41" s="290">
        <f>('CBS (Total)'!J39*'Performance &amp; Economics'!$G$77)/'CBS (CoE)'!J$2/10</f>
        <v>0.19697956648856949</v>
      </c>
      <c r="K41" s="207">
        <f t="shared" si="0"/>
        <v>3.9000155205186149E-3</v>
      </c>
      <c r="L41" s="290">
        <f>('CBS (Total)'!L39*'Performance &amp; Economics'!$G$77)/'CBS (CoE)'!L$2/10</f>
        <v>0.16654398693347333</v>
      </c>
      <c r="M41" s="207">
        <f t="shared" si="1"/>
        <v>9.1062187186501872E-3</v>
      </c>
      <c r="N41" s="290">
        <f>('CBS (Total)'!N39*'Performance &amp; Economics'!$G$77)/'CBS (CoE)'!N$2/10</f>
        <v>0.14810832883419014</v>
      </c>
      <c r="O41" s="207">
        <f t="shared" si="2"/>
        <v>1.1072416650110986E-2</v>
      </c>
      <c r="P41" s="290">
        <f>('CBS (Total)'!P39*'Performance &amp; Economics'!$G$77)/'CBS (CoE)'!P$2/10</f>
        <v>0.14081104998932192</v>
      </c>
      <c r="Q41" s="208">
        <f t="shared" si="3"/>
        <v>1.1491884930092252E-2</v>
      </c>
      <c r="R41" s="276"/>
    </row>
    <row r="42" spans="1:18" s="107" customFormat="1" ht="15" outlineLevel="1" x14ac:dyDescent="0.25">
      <c r="A42" s="149" t="s">
        <v>69</v>
      </c>
      <c r="D42" s="107" t="s">
        <v>66</v>
      </c>
      <c r="I42" s="277">
        <f>'1.5'!L13/1000</f>
        <v>73.278784580498865</v>
      </c>
      <c r="J42" s="290">
        <f>('CBS (Total)'!J40*'Performance &amp; Economics'!$G$77)/'CBS (CoE)'!J$2/10</f>
        <v>1.1682385337477483</v>
      </c>
      <c r="K42" s="207">
        <f t="shared" si="0"/>
        <v>2.313005604847098E-2</v>
      </c>
      <c r="L42" s="290">
        <f>('CBS (Total)'!L40*'Performance &amp; Economics'!$G$77)/'CBS (CoE)'!L$2/10</f>
        <v>1.0157868899732345</v>
      </c>
      <c r="M42" s="207">
        <f t="shared" si="1"/>
        <v>5.5540747894600763E-2</v>
      </c>
      <c r="N42" s="290">
        <f>('CBS (Total)'!N40*'Performance &amp; Economics'!$G$77)/'CBS (CoE)'!N$2/10</f>
        <v>0.92120207456018355</v>
      </c>
      <c r="O42" s="207">
        <f t="shared" si="2"/>
        <v>6.8868059404653473E-2</v>
      </c>
      <c r="P42" s="290">
        <f>('CBS (Total)'!P40*'Performance &amp; Economics'!$G$77)/'CBS (CoE)'!P$2/10</f>
        <v>0.88322973094490675</v>
      </c>
      <c r="Q42" s="208">
        <f t="shared" si="3"/>
        <v>7.2082229595084396E-2</v>
      </c>
    </row>
    <row r="43" spans="1:18" s="107" customFormat="1" ht="15" outlineLevel="1" x14ac:dyDescent="0.25">
      <c r="A43" s="149" t="s">
        <v>70</v>
      </c>
      <c r="D43" s="107" t="s">
        <v>67</v>
      </c>
      <c r="I43" s="277">
        <f>'1.5'!L14/1000</f>
        <v>0</v>
      </c>
      <c r="J43" s="290">
        <f>('CBS (Total)'!J41*'Performance &amp; Economics'!$G$77)/'CBS (CoE)'!J$2/10</f>
        <v>0.96801333903766973</v>
      </c>
      <c r="K43" s="207">
        <f t="shared" si="0"/>
        <v>1.9165780053308396E-2</v>
      </c>
      <c r="L43" s="290">
        <f>('CBS (Total)'!L41*'Performance &amp; Economics'!$G$77)/'CBS (CoE)'!L$2/10</f>
        <v>0.67329668441466028</v>
      </c>
      <c r="M43" s="207">
        <f t="shared" si="1"/>
        <v>3.6814219376596374E-2</v>
      </c>
      <c r="N43" s="290">
        <f>('CBS (Total)'!N41*'Performance &amp; Economics'!$G$77)/'CBS (CoE)'!N$2/10</f>
        <v>0.53791647439828805</v>
      </c>
      <c r="O43" s="207">
        <f t="shared" si="2"/>
        <v>4.0214047207058082E-2</v>
      </c>
      <c r="P43" s="290">
        <f>('CBS (Total)'!P41*'Performance &amp; Economics'!$G$77)/'CBS (CoE)'!P$2/10</f>
        <v>0.49185938908590421</v>
      </c>
      <c r="Q43" s="208">
        <f t="shared" si="3"/>
        <v>4.0141675682336862E-2</v>
      </c>
    </row>
    <row r="44" spans="1:18" s="107" customFormat="1" ht="15" outlineLevel="1" x14ac:dyDescent="0.25">
      <c r="A44" s="149" t="s">
        <v>71</v>
      </c>
      <c r="D44" s="107" t="s">
        <v>72</v>
      </c>
      <c r="I44" s="277">
        <f>'1.5'!L15/1000</f>
        <v>73.278911564625844</v>
      </c>
      <c r="J44" s="290">
        <f>('CBS (Total)'!J42*'Performance &amp; Economics'!$G$77)/'CBS (CoE)'!J$2/10</f>
        <v>0.68803583717491912</v>
      </c>
      <c r="K44" s="207">
        <f t="shared" si="0"/>
        <v>1.3622481212085088E-2</v>
      </c>
      <c r="L44" s="290">
        <f>('CBS (Total)'!L42*'Performance &amp; Economics'!$G$77)/'CBS (CoE)'!L$2/10</f>
        <v>0.41946192680233035</v>
      </c>
      <c r="M44" s="207">
        <f t="shared" si="1"/>
        <v>2.2935154369363421E-2</v>
      </c>
      <c r="N44" s="290">
        <f>('CBS (Total)'!N42*'Performance &amp; Economics'!$G$77)/'CBS (CoE)'!N$2/10</f>
        <v>0.29680482318307322</v>
      </c>
      <c r="O44" s="207">
        <f t="shared" si="2"/>
        <v>2.2188803910714767E-2</v>
      </c>
      <c r="P44" s="290">
        <f>('CBS (Total)'!P42*'Performance &amp; Economics'!$G$77)/'CBS (CoE)'!P$2/10</f>
        <v>0.25572549935649957</v>
      </c>
      <c r="Q44" s="208">
        <f t="shared" si="3"/>
        <v>2.0870294004043916E-2</v>
      </c>
    </row>
    <row r="45" spans="1:18" s="107" customFormat="1" ht="15" outlineLevel="1" x14ac:dyDescent="0.25">
      <c r="A45" s="149" t="s">
        <v>73</v>
      </c>
      <c r="D45" s="107" t="s">
        <v>402</v>
      </c>
      <c r="I45" s="277">
        <f>'1.5'!L16/1000</f>
        <v>111.14</v>
      </c>
      <c r="J45" s="290">
        <f>('CBS (Total)'!J43*'Performance &amp; Economics'!$G$77)/'CBS (CoE)'!J$2/10</f>
        <v>0.48263503660081791</v>
      </c>
      <c r="K45" s="207">
        <f t="shared" si="0"/>
        <v>9.5557329475516265E-3</v>
      </c>
      <c r="L45" s="290">
        <f>('CBS (Total)'!L43*'Performance &amp; Economics'!$G$77)/'CBS (CoE)'!L$2/10</f>
        <v>0.40702235674873083</v>
      </c>
      <c r="M45" s="207">
        <f t="shared" si="1"/>
        <v>2.2254989040312558E-2</v>
      </c>
      <c r="N45" s="290">
        <f>('CBS (Total)'!N43*'Performance &amp; Economics'!$G$77)/'CBS (CoE)'!N$2/10</f>
        <v>0.36132172744654228</v>
      </c>
      <c r="O45" s="207">
        <f t="shared" si="2"/>
        <v>2.7012017099354465E-2</v>
      </c>
      <c r="P45" s="290">
        <f>('CBS (Total)'!P43*'Performance &amp; Economics'!$G$77)/'CBS (CoE)'!P$2/10</f>
        <v>0.34325564107421519</v>
      </c>
      <c r="Q45" s="208">
        <f t="shared" si="3"/>
        <v>2.8013812333116346E-2</v>
      </c>
    </row>
    <row r="46" spans="1:18" s="107" customFormat="1" ht="15" outlineLevel="1" x14ac:dyDescent="0.25">
      <c r="A46" s="149" t="s">
        <v>403</v>
      </c>
      <c r="D46" s="107" t="s">
        <v>18</v>
      </c>
      <c r="I46" s="278"/>
      <c r="J46" s="290">
        <f>('CBS (Total)'!J44*'Performance &amp; Economics'!$G$77)/'CBS (CoE)'!J$2/10</f>
        <v>0.71876469364899909</v>
      </c>
      <c r="K46" s="207">
        <f t="shared" si="0"/>
        <v>1.4230884506462604E-2</v>
      </c>
      <c r="L46" s="290">
        <f>('CBS (Total)'!L44*'Performance &amp; Economics'!$G$77)/'CBS (CoE)'!L$2/10</f>
        <v>0.32712546514719198</v>
      </c>
      <c r="M46" s="207">
        <f t="shared" si="1"/>
        <v>1.7886422013305307E-2</v>
      </c>
      <c r="N46" s="290">
        <f>('CBS (Total)'!N44*'Performance &amp; Economics'!$G$77)/'CBS (CoE)'!N$2/10</f>
        <v>0.18869300996822383</v>
      </c>
      <c r="O46" s="207">
        <f t="shared" si="2"/>
        <v>1.4106483016702684E-2</v>
      </c>
      <c r="P46" s="290">
        <f>('CBS (Total)'!P44*'Performance &amp; Economics'!$G$77)/'CBS (CoE)'!P$2/10</f>
        <v>0.14888192324040944</v>
      </c>
      <c r="Q46" s="208">
        <f t="shared" si="3"/>
        <v>1.2150565812692665E-2</v>
      </c>
      <c r="R46" s="290"/>
    </row>
    <row r="47" spans="1:18" s="106" customFormat="1" ht="15" x14ac:dyDescent="0.25">
      <c r="A47" s="119">
        <v>1.6</v>
      </c>
      <c r="C47" s="106" t="s">
        <v>77</v>
      </c>
      <c r="I47" s="147"/>
      <c r="J47" s="289">
        <f>('CBS (Total)'!J45*'Performance &amp; Economics'!$G$77)/'CBS (CoE)'!J$2/10</f>
        <v>1.5009284008487609</v>
      </c>
      <c r="K47" s="203">
        <f t="shared" si="0"/>
        <v>2.9717011580675974E-2</v>
      </c>
      <c r="L47" s="289">
        <f>('CBS (Total)'!L45*'Performance &amp; Economics'!$G$77)/'CBS (CoE)'!L$2/10</f>
        <v>1.0291098662552161</v>
      </c>
      <c r="M47" s="203">
        <f t="shared" si="1"/>
        <v>5.6269215720074255E-2</v>
      </c>
      <c r="N47" s="289">
        <f>('CBS (Total)'!N45*'Performance &amp; Economics'!$G$77)/'CBS (CoE)'!N$2/10</f>
        <v>0.83741589735205613</v>
      </c>
      <c r="O47" s="203">
        <f t="shared" si="2"/>
        <v>6.2604296449046748E-2</v>
      </c>
      <c r="P47" s="289">
        <f>('CBS (Total)'!P45*'Performance &amp; Economics'!$G$77)/'CBS (CoE)'!P$2/10</f>
        <v>0.77533422401090091</v>
      </c>
      <c r="Q47" s="209">
        <f t="shared" si="3"/>
        <v>6.3276651124832287E-2</v>
      </c>
    </row>
    <row r="48" spans="1:18" s="106" customFormat="1" ht="15" x14ac:dyDescent="0.25">
      <c r="A48" s="119">
        <v>1.7</v>
      </c>
      <c r="C48" s="106" t="s">
        <v>49</v>
      </c>
      <c r="I48" s="147"/>
      <c r="J48" s="289">
        <f>('CBS (Total)'!J46*'Performance &amp; Economics'!$G$77)/'CBS (CoE)'!J$2/10</f>
        <v>6.3058355620070889</v>
      </c>
      <c r="K48" s="203">
        <f t="shared" si="0"/>
        <v>0.1248497851836473</v>
      </c>
      <c r="L48" s="289">
        <f>('CBS (Total)'!L46*'Performance &amp; Economics'!$G$77)/'CBS (CoE)'!L$2/10</f>
        <v>1.6263249918976466</v>
      </c>
      <c r="M48" s="203">
        <f t="shared" si="1"/>
        <v>8.8923481156619272E-2</v>
      </c>
      <c r="N48" s="289">
        <f>('CBS (Total)'!N46*'Performance &amp; Economics'!$G$77)/'CBS (CoE)'!N$2/10</f>
        <v>0.94370679718550099</v>
      </c>
      <c r="O48" s="203">
        <f t="shared" si="2"/>
        <v>7.0550487850535526E-2</v>
      </c>
      <c r="P48" s="289">
        <f>('CBS (Total)'!P46*'Performance &amp; Economics'!$G$77)/'CBS (CoE)'!P$2/10</f>
        <v>0.91817531932147656</v>
      </c>
      <c r="Q48" s="209">
        <f t="shared" si="3"/>
        <v>7.4934212308574305E-2</v>
      </c>
    </row>
    <row r="49" spans="1:18" s="107" customFormat="1" ht="15" outlineLevel="1" x14ac:dyDescent="0.25">
      <c r="A49" s="149" t="s">
        <v>78</v>
      </c>
      <c r="D49" s="107" t="s">
        <v>50</v>
      </c>
      <c r="I49" s="144"/>
      <c r="J49" s="290">
        <f>('CBS (Total)'!J47*'Performance &amp; Economics'!$G$77)/'CBS (CoE)'!J$2/10</f>
        <v>3.6170372896463569E-2</v>
      </c>
      <c r="K49" s="207">
        <f t="shared" si="0"/>
        <v>7.1614034995523058E-4</v>
      </c>
      <c r="L49" s="290">
        <f>('CBS (Total)'!L47*'Performance &amp; Economics'!$G$77)/'CBS (CoE)'!L$2/10</f>
        <v>3.4939250605910015E-2</v>
      </c>
      <c r="M49" s="207">
        <f t="shared" si="1"/>
        <v>1.9103929462805506E-3</v>
      </c>
      <c r="N49" s="290">
        <f>('CBS (Total)'!N47*'Performance &amp; Economics'!$G$77)/'CBS (CoE)'!N$2/10</f>
        <v>3.4939250605910022E-2</v>
      </c>
      <c r="O49" s="207">
        <f t="shared" si="2"/>
        <v>2.6120201557629963E-3</v>
      </c>
      <c r="P49" s="290">
        <f>('CBS (Total)'!P47*'Performance &amp; Economics'!$G$77)/'CBS (CoE)'!P$2/10</f>
        <v>3.4939250605910022E-2</v>
      </c>
      <c r="Q49" s="208">
        <f t="shared" si="3"/>
        <v>2.851465474742374E-3</v>
      </c>
    </row>
    <row r="50" spans="1:18" s="107" customFormat="1" ht="15" outlineLevel="1" x14ac:dyDescent="0.25">
      <c r="A50" s="149" t="s">
        <v>79</v>
      </c>
      <c r="D50" s="107" t="s">
        <v>51</v>
      </c>
      <c r="I50" s="144"/>
      <c r="J50" s="290">
        <f>('CBS (Total)'!J48*'Performance &amp; Economics'!$G$77)/'CBS (CoE)'!J$2/10</f>
        <v>0.32846342711968968</v>
      </c>
      <c r="K50" s="207">
        <f t="shared" si="0"/>
        <v>6.5032758804647916E-3</v>
      </c>
      <c r="L50" s="290">
        <f>('CBS (Total)'!L48*'Performance &amp; Economics'!$G$77)/'CBS (CoE)'!L$2/10</f>
        <v>3.7780680852507631E-2</v>
      </c>
      <c r="M50" s="207">
        <f t="shared" si="1"/>
        <v>2.0657554170351493E-3</v>
      </c>
      <c r="N50" s="290">
        <f>('CBS (Total)'!N48*'Performance &amp; Economics'!$G$77)/'CBS (CoE)'!N$2/10</f>
        <v>1.510833274967328E-2</v>
      </c>
      <c r="O50" s="207">
        <f t="shared" si="2"/>
        <v>1.1294824295815182E-3</v>
      </c>
      <c r="P50" s="290">
        <f>('CBS (Total)'!P48*'Performance &amp; Economics'!$G$77)/'CBS (CoE)'!P$2/10</f>
        <v>1.1334204255752291E-2</v>
      </c>
      <c r="Q50" s="208">
        <f t="shared" si="3"/>
        <v>9.2500816584454519E-4</v>
      </c>
    </row>
    <row r="51" spans="1:18" s="107" customFormat="1" ht="15" outlineLevel="1" x14ac:dyDescent="0.25">
      <c r="A51" s="149" t="s">
        <v>80</v>
      </c>
      <c r="D51" s="107" t="s">
        <v>75</v>
      </c>
      <c r="I51" s="144"/>
      <c r="J51" s="290">
        <f>('CBS (Total)'!J49*'Performance &amp; Economics'!$G$77)/'CBS (CoE)'!J$2/10</f>
        <v>1.3815060717942245</v>
      </c>
      <c r="K51" s="207">
        <f t="shared" si="0"/>
        <v>2.7352558530485106E-2</v>
      </c>
      <c r="L51" s="290">
        <f>('CBS (Total)'!L49*'Performance &amp; Economics'!$G$77)/'CBS (CoE)'!L$2/10</f>
        <v>0.52448732467086467</v>
      </c>
      <c r="M51" s="207">
        <f t="shared" si="1"/>
        <v>2.8677686787457638E-2</v>
      </c>
      <c r="N51" s="290">
        <f>('CBS (Total)'!N49*'Performance &amp; Economics'!$G$77)/'CBS (CoE)'!N$2/10</f>
        <v>0.4483078804821215</v>
      </c>
      <c r="O51" s="207">
        <f t="shared" si="2"/>
        <v>3.3515006747414769E-2</v>
      </c>
      <c r="P51" s="290">
        <f>('CBS (Total)'!P49*'Performance &amp; Economics'!$G$77)/'CBS (CoE)'!P$2/10</f>
        <v>0.43878544995852858</v>
      </c>
      <c r="Q51" s="208">
        <f t="shared" si="3"/>
        <v>3.5810200266985774E-2</v>
      </c>
    </row>
    <row r="52" spans="1:18" s="107" customFormat="1" ht="15" outlineLevel="1" x14ac:dyDescent="0.25">
      <c r="A52" s="149" t="s">
        <v>81</v>
      </c>
      <c r="D52" s="107" t="s">
        <v>12</v>
      </c>
      <c r="I52" s="144"/>
      <c r="J52" s="290">
        <f>('CBS (Total)'!J50*'Performance &amp; Economics'!$G$77)/'CBS (CoE)'!J$2/10</f>
        <v>4.3293403984112349</v>
      </c>
      <c r="K52" s="207">
        <f t="shared" si="0"/>
        <v>8.5716986022465677E-2</v>
      </c>
      <c r="L52" s="290">
        <f>('CBS (Total)'!L50*'Performance &amp; Economics'!$G$77)/'CBS (CoE)'!L$2/10</f>
        <v>0.79876244398288787</v>
      </c>
      <c r="M52" s="207">
        <f t="shared" si="1"/>
        <v>4.3674380883275334E-2</v>
      </c>
      <c r="N52" s="290">
        <f>('CBS (Total)'!N50*'Performance &amp; Economics'!$G$77)/'CBS (CoE)'!N$2/10</f>
        <v>0.21499604156231969</v>
      </c>
      <c r="O52" s="207">
        <f t="shared" si="2"/>
        <v>1.6072868886176022E-2</v>
      </c>
      <c r="P52" s="290">
        <f>('CBS (Total)'!P50*'Performance &amp; Economics'!$G$77)/'CBS (CoE)'!P$2/10</f>
        <v>0.20276112271580912</v>
      </c>
      <c r="Q52" s="208">
        <f t="shared" si="3"/>
        <v>1.6547760212874567E-2</v>
      </c>
    </row>
    <row r="53" spans="1:18" s="107" customFormat="1" ht="15" outlineLevel="1" x14ac:dyDescent="0.25">
      <c r="A53" s="149" t="s">
        <v>82</v>
      </c>
      <c r="D53" s="107" t="s">
        <v>52</v>
      </c>
      <c r="I53" s="144"/>
      <c r="J53" s="290">
        <f>('CBS (Total)'!J51*'Performance &amp; Economics'!$G$77)/'CBS (CoE)'!J$2/10</f>
        <v>0.23035529178547653</v>
      </c>
      <c r="K53" s="207">
        <f t="shared" si="0"/>
        <v>4.5608244002764888E-3</v>
      </c>
      <c r="L53" s="290">
        <f>('CBS (Total)'!L51*'Performance &amp; Economics'!$G$77)/'CBS (CoE)'!L$2/10</f>
        <v>0.23035529178547653</v>
      </c>
      <c r="M53" s="207">
        <f t="shared" si="1"/>
        <v>1.2595265122570609E-2</v>
      </c>
      <c r="N53" s="290">
        <f>('CBS (Total)'!N51*'Performance &amp; Economics'!$G$77)/'CBS (CoE)'!N$2/10</f>
        <v>0.23035529178547648</v>
      </c>
      <c r="O53" s="207">
        <f t="shared" si="2"/>
        <v>1.7221109631600218E-2</v>
      </c>
      <c r="P53" s="290">
        <f>('CBS (Total)'!P51*'Performance &amp; Economics'!$G$77)/'CBS (CoE)'!P$2/10</f>
        <v>0.23035529178547648</v>
      </c>
      <c r="Q53" s="208">
        <f t="shared" si="3"/>
        <v>1.8799778188127041E-2</v>
      </c>
    </row>
    <row r="54" spans="1:18" s="107" customFormat="1" ht="15" outlineLevel="1" x14ac:dyDescent="0.25">
      <c r="A54" s="149" t="s">
        <v>83</v>
      </c>
      <c r="D54" s="107" t="s">
        <v>53</v>
      </c>
      <c r="I54" s="144"/>
      <c r="J54" s="290">
        <f>('CBS (Total)'!J52*'Performance &amp; Economics'!$G$77)/'CBS (CoE)'!J$2/10</f>
        <v>0</v>
      </c>
      <c r="K54" s="207">
        <f t="shared" si="0"/>
        <v>0</v>
      </c>
      <c r="L54" s="290">
        <f>('CBS (Total)'!L52*'Performance &amp; Economics'!$G$77)/'CBS (CoE)'!L$2/10</f>
        <v>0</v>
      </c>
      <c r="M54" s="207">
        <f t="shared" si="1"/>
        <v>0</v>
      </c>
      <c r="N54" s="290">
        <f>('CBS (Total)'!N52*'Performance &amp; Economics'!$G$77)/'CBS (CoE)'!N$2/10</f>
        <v>0</v>
      </c>
      <c r="O54" s="207">
        <f t="shared" si="2"/>
        <v>0</v>
      </c>
      <c r="P54" s="290">
        <f>('CBS (Total)'!P52*'Performance &amp; Economics'!$G$77)/'CBS (CoE)'!P$2/10</f>
        <v>0</v>
      </c>
      <c r="Q54" s="208">
        <f t="shared" si="3"/>
        <v>0</v>
      </c>
    </row>
    <row r="55" spans="1:18" s="147" customFormat="1" ht="15" x14ac:dyDescent="0.25">
      <c r="A55" s="211">
        <v>1.8</v>
      </c>
      <c r="C55" s="147" t="s">
        <v>493</v>
      </c>
      <c r="J55" s="289">
        <f>('CBS (Total)'!J53*'Performance &amp; Economics'!$G$77)/'CBS (CoE)'!J$2/10</f>
        <v>0</v>
      </c>
      <c r="K55" s="203">
        <f t="shared" si="0"/>
        <v>0</v>
      </c>
      <c r="L55" s="289">
        <f>('CBS (Total)'!L53*'Performance &amp; Economics'!$G$77)/'CBS (CoE)'!L$2/10</f>
        <v>0</v>
      </c>
      <c r="M55" s="203">
        <f t="shared" si="1"/>
        <v>0</v>
      </c>
      <c r="N55" s="289">
        <f>('CBS (Total)'!N53*'Performance &amp; Economics'!$G$77)/'CBS (CoE)'!N$2/10</f>
        <v>0</v>
      </c>
      <c r="O55" s="203">
        <f t="shared" si="2"/>
        <v>0</v>
      </c>
      <c r="P55" s="289">
        <f>('CBS (Total)'!P53*'Performance &amp; Economics'!$G$77)/'CBS (CoE)'!P$2/10</f>
        <v>0</v>
      </c>
      <c r="Q55" s="209">
        <f t="shared" si="3"/>
        <v>0</v>
      </c>
    </row>
    <row r="56" spans="1:18" s="147" customFormat="1" ht="15" x14ac:dyDescent="0.25">
      <c r="A56" s="211" t="s">
        <v>564</v>
      </c>
      <c r="C56" s="147" t="s">
        <v>470</v>
      </c>
      <c r="J56" s="289">
        <f>('CBS (Total)'!J54*'Performance &amp; Economics'!$G$77)/'CBS (CoE)'!J$2/10</f>
        <v>4.1088307948807952</v>
      </c>
      <c r="K56" s="203">
        <f>J56/$J$58</f>
        <v>8.1351097257845895E-2</v>
      </c>
      <c r="L56" s="289">
        <f>('CBS (Total)'!L54*'Performance &amp; Economics'!$G$77)/'CBS (CoE)'!L$2/10</f>
        <v>1.5629328983024602</v>
      </c>
      <c r="M56" s="203">
        <f>L56/$L$58</f>
        <v>8.545735620104522E-2</v>
      </c>
      <c r="N56" s="289">
        <f>('CBS (Total)'!N54*'Performance &amp; Economics'!$G$77)/'CBS (CoE)'!N$2/10</f>
        <v>1.1778007929179235</v>
      </c>
      <c r="O56" s="203">
        <f>N56/$N$58</f>
        <v>8.8051098899495903E-2</v>
      </c>
      <c r="P56" s="289">
        <f>('CBS (Total)'!P54*'Performance &amp; Economics'!$G$77)/'CBS (CoE)'!P$2/10</f>
        <v>1.0920007027687486</v>
      </c>
      <c r="Q56" s="209">
        <f>P56/$P$58</f>
        <v>8.9120466190330705E-2</v>
      </c>
    </row>
    <row r="57" spans="1:18" ht="15" outlineLevel="1" x14ac:dyDescent="0.25">
      <c r="I57" s="108"/>
      <c r="J57" s="289"/>
      <c r="K57" s="203"/>
      <c r="L57" s="289"/>
      <c r="M57" s="203"/>
      <c r="N57" s="289"/>
      <c r="O57" s="203"/>
      <c r="P57" s="289"/>
      <c r="Q57" s="209"/>
    </row>
    <row r="58" spans="1:18" ht="15" outlineLevel="1" x14ac:dyDescent="0.25">
      <c r="A58" s="279" t="s">
        <v>563</v>
      </c>
      <c r="B58" s="280"/>
      <c r="C58" s="280"/>
      <c r="D58" s="280"/>
      <c r="E58" s="280"/>
      <c r="F58" s="280"/>
      <c r="G58" s="280"/>
      <c r="H58" s="280"/>
      <c r="I58" s="284">
        <f>I32+I26</f>
        <v>2362.8565408163263</v>
      </c>
      <c r="J58" s="292">
        <f>('CBS (Total)'!J56*'Performance &amp; Economics'!$G$77)/'CBS (CoE)'!J$2/10</f>
        <v>50.507380150727094</v>
      </c>
      <c r="K58" s="286">
        <f t="shared" ref="K58" si="4">J58/$J$58</f>
        <v>1</v>
      </c>
      <c r="L58" s="292">
        <f>('CBS (Total)'!L56*'Performance &amp; Economics'!$G$77)/'CBS (CoE)'!L$2/10</f>
        <v>18.289038741445925</v>
      </c>
      <c r="M58" s="286">
        <f t="shared" ref="M58" si="5">L58/$L$58</f>
        <v>1</v>
      </c>
      <c r="N58" s="292">
        <f>('CBS (Total)'!N56*'Performance &amp; Economics'!$G$77)/'CBS (CoE)'!N$2/10</f>
        <v>13.376332693613509</v>
      </c>
      <c r="O58" s="286">
        <f t="shared" ref="O58" si="6">N58/$N$58</f>
        <v>1</v>
      </c>
      <c r="P58" s="292">
        <f>('CBS (Total)'!P56*'Performance &amp; Economics'!$G$77)/'CBS (CoE)'!P$2/10</f>
        <v>12.253085620497206</v>
      </c>
      <c r="Q58" s="287">
        <f t="shared" ref="Q58" si="7">P58/$P$58</f>
        <v>1</v>
      </c>
    </row>
    <row r="59" spans="1:18" ht="15" outlineLevel="1" x14ac:dyDescent="0.25">
      <c r="I59" s="108"/>
      <c r="J59" s="289"/>
      <c r="K59" s="200"/>
      <c r="L59" s="289"/>
      <c r="M59" s="200"/>
      <c r="N59" s="289"/>
      <c r="O59" s="200"/>
      <c r="P59" s="289"/>
      <c r="Q59" s="108"/>
    </row>
    <row r="60" spans="1:18" s="106" customFormat="1" ht="15" x14ac:dyDescent="0.25">
      <c r="A60" s="119">
        <v>2</v>
      </c>
      <c r="B60" s="106" t="s">
        <v>60</v>
      </c>
      <c r="I60" s="147"/>
      <c r="J60" s="289">
        <f>('CBS (Total)'!J58)/'CBS (CoE)'!J$2/10</f>
        <v>18.911922203082732</v>
      </c>
      <c r="K60" s="209">
        <f>J60/$J$58</f>
        <v>0.37443878788891172</v>
      </c>
      <c r="L60" s="289">
        <f>('CBS (Total)'!L58)/'CBS (CoE)'!L$2/10</f>
        <v>6.3869214713641798</v>
      </c>
      <c r="M60" s="209">
        <f>L60/$L$58</f>
        <v>0.3492212773813192</v>
      </c>
      <c r="N60" s="289">
        <f>('CBS (Total)'!N58)/'CBS (CoE)'!N$2/10</f>
        <v>3.6919519212998124</v>
      </c>
      <c r="O60" s="209">
        <f>N60/$N$58</f>
        <v>0.27600628706420588</v>
      </c>
      <c r="P60" s="289">
        <f>('CBS (Total)'!P58)/'CBS (CoE)'!P$2/10</f>
        <v>2.9807024760135401</v>
      </c>
      <c r="Q60" s="209">
        <f>P60/$P$58</f>
        <v>0.24326137663050046</v>
      </c>
    </row>
    <row r="61" spans="1:18" s="107" customFormat="1" ht="15" outlineLevel="1" x14ac:dyDescent="0.25">
      <c r="A61" s="149">
        <v>2.1</v>
      </c>
      <c r="C61" s="107" t="s">
        <v>54</v>
      </c>
      <c r="I61" s="144"/>
      <c r="J61" s="290">
        <f>('CBS (Total)'!J59)/'CBS (CoE)'!J$2/10</f>
        <v>7.2996024960932999</v>
      </c>
      <c r="K61" s="208">
        <f t="shared" ref="K61:K66" si="8">J61/$J$58</f>
        <v>0.1445254628988753</v>
      </c>
      <c r="L61" s="290">
        <f>('CBS (Total)'!L59)/'CBS (CoE)'!L$2/10</f>
        <v>2.7766509392134653</v>
      </c>
      <c r="M61" s="208">
        <f t="shared" ref="M61:M66" si="9">L61/$L$58</f>
        <v>0.15182049633484151</v>
      </c>
      <c r="N61" s="290">
        <f>('CBS (Total)'!N59)/'CBS (CoE)'!N$2/10</f>
        <v>1.0462194766691248</v>
      </c>
      <c r="O61" s="208">
        <f t="shared" ref="O61:O66" si="10">N61/$N$58</f>
        <v>7.8214223631611623E-2</v>
      </c>
      <c r="P61" s="290">
        <f>('CBS (Total)'!P59)/'CBS (CoE)'!P$2/10</f>
        <v>0.48500239201853351</v>
      </c>
      <c r="Q61" s="208">
        <f t="shared" ref="Q61:Q66" si="11">P61/$P$58</f>
        <v>3.9582061779378397E-2</v>
      </c>
    </row>
    <row r="62" spans="1:18" s="107" customFormat="1" ht="15" outlineLevel="1" x14ac:dyDescent="0.25">
      <c r="A62" s="149">
        <v>2.2000000000000002</v>
      </c>
      <c r="C62" s="107" t="s">
        <v>55</v>
      </c>
      <c r="I62" s="144"/>
      <c r="J62" s="290">
        <f>('CBS (Total)'!J60)/'CBS (CoE)'!J$2/10</f>
        <v>6.468549441439345</v>
      </c>
      <c r="K62" s="208">
        <f t="shared" si="8"/>
        <v>0.1280713713943491</v>
      </c>
      <c r="L62" s="290">
        <f>('CBS (Total)'!L60)/'CBS (CoE)'!L$2/10</f>
        <v>0.86301276030537166</v>
      </c>
      <c r="M62" s="208">
        <f t="shared" si="9"/>
        <v>4.7187431362898526E-2</v>
      </c>
      <c r="N62" s="290">
        <f>('CBS (Total)'!N60)/'CBS (CoE)'!N$2/10</f>
        <v>0.17813608717074181</v>
      </c>
      <c r="O62" s="208">
        <f t="shared" si="10"/>
        <v>1.3317259016426256E-2</v>
      </c>
      <c r="P62" s="290">
        <f>('CBS (Total)'!P60)/'CBS (CoE)'!P$2/10</f>
        <v>8.9068043585370904E-2</v>
      </c>
      <c r="Q62" s="208">
        <f t="shared" si="11"/>
        <v>7.2690297239395851E-3</v>
      </c>
      <c r="R62" s="200"/>
    </row>
    <row r="63" spans="1:18" s="107" customFormat="1" ht="15" outlineLevel="1" x14ac:dyDescent="0.25">
      <c r="A63" s="149">
        <v>2.2999999999999998</v>
      </c>
      <c r="C63" s="107" t="s">
        <v>56</v>
      </c>
      <c r="I63" s="144"/>
      <c r="J63" s="290">
        <f>('CBS (Total)'!J61)/'CBS (CoE)'!J$2/10</f>
        <v>0.50302852438755319</v>
      </c>
      <c r="K63" s="208">
        <f t="shared" si="8"/>
        <v>9.9595053809242509E-3</v>
      </c>
      <c r="L63" s="290">
        <f>('CBS (Total)'!L61)/'CBS (CoE)'!L$2/10</f>
        <v>0.50302852438755319</v>
      </c>
      <c r="M63" s="208">
        <f t="shared" si="9"/>
        <v>2.7504371962841823E-2</v>
      </c>
      <c r="N63" s="290">
        <f>('CBS (Total)'!N61)/'CBS (CoE)'!N$2/10</f>
        <v>0.50302852438755319</v>
      </c>
      <c r="O63" s="208">
        <f t="shared" si="10"/>
        <v>3.7605862227673412E-2</v>
      </c>
      <c r="P63" s="290">
        <f>('CBS (Total)'!P61)/'CBS (CoE)'!P$2/10</f>
        <v>0.50302852438755319</v>
      </c>
      <c r="Q63" s="208">
        <f t="shared" si="11"/>
        <v>4.105321222485192E-2</v>
      </c>
      <c r="R63" s="276"/>
    </row>
    <row r="64" spans="1:18" s="107" customFormat="1" ht="15" outlineLevel="1" x14ac:dyDescent="0.25">
      <c r="A64" s="149">
        <v>2.4</v>
      </c>
      <c r="C64" s="107" t="s">
        <v>57</v>
      </c>
      <c r="I64" s="144"/>
      <c r="J64" s="290">
        <f>('CBS (Total)'!J62)/'CBS (CoE)'!J$2/10</f>
        <v>1.3653555637729313</v>
      </c>
      <c r="K64" s="208">
        <f t="shared" si="8"/>
        <v>2.7032793221472919E-2</v>
      </c>
      <c r="L64" s="290">
        <f>('CBS (Total)'!L62)/'CBS (CoE)'!L$2/10</f>
        <v>0.16324216404831463</v>
      </c>
      <c r="M64" s="208">
        <f t="shared" si="9"/>
        <v>8.9256831021075726E-3</v>
      </c>
      <c r="N64" s="290">
        <f>('CBS (Total)'!N62)/'CBS (CoE)'!N$2/10</f>
        <v>8.779468048380959E-2</v>
      </c>
      <c r="O64" s="208">
        <f t="shared" si="10"/>
        <v>6.563434275653663E-3</v>
      </c>
      <c r="P64" s="290">
        <f>('CBS (Total)'!P62)/'CBS (CoE)'!P$2/10</f>
        <v>7.7588752996116478E-2</v>
      </c>
      <c r="Q64" s="208">
        <f t="shared" si="11"/>
        <v>6.3321807583164571E-3</v>
      </c>
    </row>
    <row r="65" spans="1:17" s="107" customFormat="1" ht="15" outlineLevel="1" x14ac:dyDescent="0.25">
      <c r="A65" s="291">
        <v>2.5</v>
      </c>
      <c r="C65" s="107" t="s">
        <v>58</v>
      </c>
      <c r="I65" s="144"/>
      <c r="J65" s="290">
        <f>('CBS (Total)'!J63)/'CBS (CoE)'!J$2/10</f>
        <v>3.1988632630143363</v>
      </c>
      <c r="K65" s="208">
        <f t="shared" si="8"/>
        <v>6.3334571174907511E-2</v>
      </c>
      <c r="L65" s="290">
        <f>('CBS (Total)'!L63)/'CBS (CoE)'!L$2/10</f>
        <v>2.0044641690342075</v>
      </c>
      <c r="M65" s="208">
        <f>L65/$L$58</f>
        <v>0.10959920843142877</v>
      </c>
      <c r="N65" s="290">
        <f>('CBS (Total)'!N63)/'CBS (CoE)'!N$2/10</f>
        <v>1.8002502382133159</v>
      </c>
      <c r="O65" s="208">
        <f t="shared" si="10"/>
        <v>0.13458473854144193</v>
      </c>
      <c r="P65" s="290">
        <f>('CBS (Total)'!P63)/'CBS (CoE)'!P$2/10</f>
        <v>1.7494918486506985</v>
      </c>
      <c r="Q65" s="208">
        <f t="shared" si="11"/>
        <v>0.14277969670954666</v>
      </c>
    </row>
    <row r="66" spans="1:17" s="107" customFormat="1" ht="15" outlineLevel="1" x14ac:dyDescent="0.25">
      <c r="A66" s="149">
        <v>2.6</v>
      </c>
      <c r="C66" s="107" t="s">
        <v>59</v>
      </c>
      <c r="I66" s="144"/>
      <c r="J66" s="290">
        <f>('CBS (Total)'!J64)/'CBS (CoE)'!J$2/10</f>
        <v>7.652291437526712E-2</v>
      </c>
      <c r="K66" s="208">
        <f t="shared" si="8"/>
        <v>1.5150838183826392E-3</v>
      </c>
      <c r="L66" s="290">
        <f>('CBS (Total)'!L64)/'CBS (CoE)'!L$2/10</f>
        <v>7.652291437526712E-2</v>
      </c>
      <c r="M66" s="208">
        <f t="shared" si="9"/>
        <v>4.1840861872009597E-3</v>
      </c>
      <c r="N66" s="290">
        <f>('CBS (Total)'!N64)/'CBS (CoE)'!N$2/10</f>
        <v>7.6522914375267134E-2</v>
      </c>
      <c r="O66" s="208">
        <f t="shared" si="10"/>
        <v>5.7207693713989911E-3</v>
      </c>
      <c r="P66" s="290">
        <f>('CBS (Total)'!P64)/'CBS (CoE)'!P$2/10</f>
        <v>7.6522914375267134E-2</v>
      </c>
      <c r="Q66" s="208">
        <f t="shared" si="11"/>
        <v>6.2451954344673868E-3</v>
      </c>
    </row>
    <row r="67" spans="1:17" ht="15" x14ac:dyDescent="0.25">
      <c r="I67" s="108"/>
      <c r="J67" s="289"/>
      <c r="K67" s="144"/>
      <c r="L67" s="289"/>
      <c r="M67" s="144"/>
      <c r="N67" s="289"/>
      <c r="O67" s="144"/>
      <c r="P67" s="289"/>
      <c r="Q67" s="108"/>
    </row>
    <row r="68" spans="1:17" s="106" customFormat="1" ht="15" x14ac:dyDescent="0.25">
      <c r="A68" s="279" t="s">
        <v>657</v>
      </c>
      <c r="B68" s="280"/>
      <c r="C68" s="280"/>
      <c r="D68" s="280"/>
      <c r="E68" s="280"/>
      <c r="F68" s="280"/>
      <c r="G68" s="280"/>
      <c r="H68" s="280"/>
      <c r="I68" s="280"/>
      <c r="J68" s="292">
        <f>('CBS (Total)'!J66)/'CBS (CoE)'!J$2/10</f>
        <v>18.911922203082732</v>
      </c>
      <c r="K68" s="282">
        <f t="shared" ref="K68:Q68" si="12">SUM(K61:K66)</f>
        <v>0.37443878788891172</v>
      </c>
      <c r="L68" s="292">
        <f>('CBS (Total)'!L66)/'CBS (CoE)'!L$2/10</f>
        <v>6.3869214713641798</v>
      </c>
      <c r="M68" s="282">
        <f t="shared" si="12"/>
        <v>0.34922127738131914</v>
      </c>
      <c r="N68" s="292">
        <f>('CBS (Total)'!N66)/'CBS (CoE)'!N$2/10</f>
        <v>3.6919519212998124</v>
      </c>
      <c r="O68" s="282">
        <f t="shared" si="12"/>
        <v>0.27600628706420588</v>
      </c>
      <c r="P68" s="292">
        <f>('CBS (Total)'!P66)/'CBS (CoE)'!P$2/10</f>
        <v>2.9807024760135401</v>
      </c>
      <c r="Q68" s="282">
        <f t="shared" si="12"/>
        <v>0.2432613766305004</v>
      </c>
    </row>
    <row r="69" spans="1:17" ht="15" x14ac:dyDescent="0.25">
      <c r="J69" s="4"/>
      <c r="K69" s="200"/>
      <c r="L69" s="4"/>
      <c r="M69" s="200"/>
      <c r="N69" s="4"/>
      <c r="O69" s="200"/>
      <c r="P69" s="4"/>
    </row>
    <row r="70" spans="1:17" ht="15" x14ac:dyDescent="0.25">
      <c r="J70" s="108"/>
      <c r="K70" s="144"/>
      <c r="L70" s="108"/>
      <c r="M70" s="144"/>
      <c r="N70" s="108"/>
      <c r="O70" s="144"/>
      <c r="P70" s="108"/>
    </row>
  </sheetData>
  <mergeCells count="1">
    <mergeCell ref="J3:P3"/>
  </mergeCell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0"/>
  <sheetViews>
    <sheetView zoomScale="70" zoomScaleNormal="70" workbookViewId="0">
      <pane xSplit="8" ySplit="4" topLeftCell="J5" activePane="bottomRight" state="frozen"/>
      <selection activeCell="A3" sqref="A3"/>
      <selection pane="topRight" activeCell="I3" sqref="I3"/>
      <selection pane="bottomLeft" activeCell="A5" sqref="A5"/>
      <selection pane="bottomRight" sqref="A1:XFD2"/>
    </sheetView>
  </sheetViews>
  <sheetFormatPr defaultColWidth="9.109375" defaultRowHeight="14.4" outlineLevelRow="2" x14ac:dyDescent="0.3"/>
  <cols>
    <col min="1" max="1" width="8.44140625" style="84" customWidth="1"/>
    <col min="2" max="2" width="3.88671875" style="118" customWidth="1"/>
    <col min="3" max="4" width="4.109375" style="118" customWidth="1"/>
    <col min="5" max="7" width="9.109375" style="118"/>
    <col min="8" max="9" width="20.33203125" style="118" customWidth="1"/>
    <col min="10" max="10" width="19.5546875" style="118" bestFit="1" customWidth="1"/>
    <col min="11" max="11" width="10.109375" style="107" customWidth="1"/>
    <col min="12" max="12" width="20.44140625" style="118" bestFit="1" customWidth="1"/>
    <col min="13" max="13" width="10.109375" style="107" customWidth="1"/>
    <col min="14" max="14" width="22.6640625" style="118" bestFit="1" customWidth="1"/>
    <col min="15" max="15" width="11.5546875" style="107" customWidth="1"/>
    <col min="16" max="16" width="20.88671875" style="118" customWidth="1"/>
    <col min="17" max="17" width="11" style="118" customWidth="1"/>
    <col min="18" max="18" width="17.109375" style="118" bestFit="1" customWidth="1"/>
    <col min="19" max="19" width="16.88671875" style="118" bestFit="1" customWidth="1"/>
    <col min="20" max="22" width="13.33203125" style="118" bestFit="1" customWidth="1"/>
    <col min="23" max="16384" width="9.109375" style="118"/>
  </cols>
  <sheetData>
    <row r="1" spans="1:19" ht="23.25" hidden="1" customHeight="1" x14ac:dyDescent="0.25">
      <c r="A1" s="84" t="s">
        <v>656</v>
      </c>
      <c r="J1" s="118">
        <f>'CBS (Total)'!J2*'Performance &amp; Economics'!$Q$14*1000</f>
        <v>4000</v>
      </c>
      <c r="K1" s="118"/>
      <c r="L1" s="118">
        <f>'CBS (Total)'!L2*'Performance &amp; Economics'!$Q$14*1000</f>
        <v>40000</v>
      </c>
      <c r="M1" s="118"/>
      <c r="N1" s="118">
        <f>'CBS (Total)'!N2*'Performance &amp; Economics'!$Q$14*1000</f>
        <v>200000</v>
      </c>
      <c r="O1" s="118"/>
      <c r="P1" s="118">
        <f>'CBS (Total)'!P2*'Performance &amp; Economics'!$Q$14*1000</f>
        <v>400000</v>
      </c>
    </row>
    <row r="2" spans="1:19" ht="24" hidden="1" customHeight="1" x14ac:dyDescent="0.25"/>
    <row r="3" spans="1:19" ht="20.25" customHeight="1" x14ac:dyDescent="0.25">
      <c r="A3" s="3" t="s">
        <v>293</v>
      </c>
      <c r="I3" s="106"/>
      <c r="J3" s="546" t="s">
        <v>68</v>
      </c>
      <c r="K3" s="546"/>
      <c r="L3" s="546"/>
      <c r="M3" s="546"/>
      <c r="N3" s="546"/>
      <c r="O3" s="546"/>
      <c r="P3" s="546"/>
      <c r="Q3" s="106"/>
    </row>
    <row r="4" spans="1:19" ht="22.5" customHeight="1" x14ac:dyDescent="0.25">
      <c r="I4" s="106" t="s">
        <v>255</v>
      </c>
      <c r="J4" s="106">
        <v>1</v>
      </c>
      <c r="K4" s="214" t="s">
        <v>494</v>
      </c>
      <c r="L4" s="106">
        <v>10</v>
      </c>
      <c r="M4" s="214" t="s">
        <v>494</v>
      </c>
      <c r="N4" s="106">
        <v>50</v>
      </c>
      <c r="O4" s="214" t="s">
        <v>495</v>
      </c>
      <c r="P4" s="106">
        <v>100</v>
      </c>
      <c r="Q4" s="214" t="s">
        <v>495</v>
      </c>
      <c r="R4" s="106"/>
      <c r="S4" s="119"/>
    </row>
    <row r="5" spans="1:19" ht="15" x14ac:dyDescent="0.25">
      <c r="A5" s="119">
        <v>1</v>
      </c>
      <c r="B5" s="106" t="s">
        <v>0</v>
      </c>
      <c r="J5" s="111"/>
      <c r="K5" s="206"/>
      <c r="L5" s="111"/>
      <c r="M5" s="206"/>
      <c r="N5" s="111"/>
      <c r="O5" s="206"/>
      <c r="P5" s="111"/>
    </row>
    <row r="6" spans="1:19" s="106" customFormat="1" ht="15" x14ac:dyDescent="0.25">
      <c r="A6" s="119">
        <v>1.1000000000000001</v>
      </c>
      <c r="C6" s="106" t="s">
        <v>240</v>
      </c>
      <c r="J6" s="274">
        <f>'CBS (Total)'!J4/'CBS ($ per kW)'!J$1</f>
        <v>2695.8336347777918</v>
      </c>
      <c r="K6" s="203">
        <f t="shared" ref="K6:K55" si="0">J6/$J$58</f>
        <v>0.10513793016369501</v>
      </c>
      <c r="L6" s="274">
        <f>'CBS (Total)'!L4/'CBS ($ per kW)'!L$1</f>
        <v>556.7972758141434</v>
      </c>
      <c r="M6" s="203">
        <f t="shared" ref="M6:M55" si="1">L6/$L$58</f>
        <v>5.9969081788502659E-2</v>
      </c>
      <c r="N6" s="274">
        <f>'CBS (Total)'!N4/'CBS ($ per kW)'!N$1</f>
        <v>213.48608843687043</v>
      </c>
      <c r="O6" s="203">
        <f t="shared" ref="O6:O55" si="2">N6/$N$58</f>
        <v>3.1437912105545154E-2</v>
      </c>
      <c r="P6" s="273">
        <f>'CBS (Total)'!P4/'CBS ($ per kW)'!P$1</f>
        <v>122.3872578960933</v>
      </c>
      <c r="Q6" s="209">
        <f t="shared" ref="Q6:Q55" si="3">P6/$P$58</f>
        <v>1.9674871906362287E-2</v>
      </c>
      <c r="R6" s="238"/>
      <c r="S6" s="238"/>
    </row>
    <row r="7" spans="1:19" s="107" customFormat="1" ht="15" outlineLevel="1" x14ac:dyDescent="0.25">
      <c r="A7" s="149" t="s">
        <v>2</v>
      </c>
      <c r="D7" s="107" t="s">
        <v>1</v>
      </c>
      <c r="I7" s="144"/>
      <c r="J7" s="275">
        <f>'CBS (Total)'!J5/'CBS ($ per kW)'!J$1</f>
        <v>1152.875</v>
      </c>
      <c r="K7" s="207">
        <f t="shared" si="0"/>
        <v>4.4962303932178989E-2</v>
      </c>
      <c r="L7" s="275">
        <f>'CBS (Total)'!L5/'CBS ($ per kW)'!L$1</f>
        <v>218.76249999999999</v>
      </c>
      <c r="M7" s="207">
        <f t="shared" si="1"/>
        <v>2.3561513004126792E-2</v>
      </c>
      <c r="N7" s="275">
        <f>'CBS (Total)'!N5/'CBS ($ per kW)'!N$1</f>
        <v>53.9</v>
      </c>
      <c r="O7" s="207">
        <f t="shared" si="2"/>
        <v>7.9373015585976325E-3</v>
      </c>
      <c r="P7" s="276">
        <f>'CBS (Total)'!P5/'CBS ($ per kW)'!P$1</f>
        <v>26.95</v>
      </c>
      <c r="Q7" s="208">
        <f t="shared" si="3"/>
        <v>4.3324591709263983E-3</v>
      </c>
      <c r="R7" s="206"/>
      <c r="S7" s="206"/>
    </row>
    <row r="8" spans="1:19" s="107" customFormat="1" ht="15" outlineLevel="2" x14ac:dyDescent="0.25">
      <c r="A8" s="149" t="s">
        <v>241</v>
      </c>
      <c r="E8" s="107" t="s">
        <v>3</v>
      </c>
      <c r="I8" s="144"/>
      <c r="J8" s="275">
        <f>'CBS (Total)'!J6/'CBS ($ per kW)'!J$1</f>
        <v>63.125</v>
      </c>
      <c r="K8" s="207">
        <f t="shared" si="0"/>
        <v>2.4618847973273761E-3</v>
      </c>
      <c r="L8" s="275">
        <f>'CBS (Total)'!L6/'CBS ($ per kW)'!L$1</f>
        <v>9.25</v>
      </c>
      <c r="M8" s="207">
        <f t="shared" si="1"/>
        <v>9.96258477975763E-4</v>
      </c>
      <c r="N8" s="275">
        <f>'CBS (Total)'!N6/'CBS ($ per kW)'!N$1</f>
        <v>1.95</v>
      </c>
      <c r="O8" s="207">
        <f t="shared" si="2"/>
        <v>2.8715654989360634E-4</v>
      </c>
      <c r="P8" s="276">
        <f>'CBS (Total)'!P6/'CBS ($ per kW)'!P$1</f>
        <v>0.97499999999999998</v>
      </c>
      <c r="Q8" s="208">
        <f t="shared" si="3"/>
        <v>1.5674017408731866E-4</v>
      </c>
    </row>
    <row r="9" spans="1:19" s="107" customFormat="1" ht="15" outlineLevel="2" x14ac:dyDescent="0.25">
      <c r="A9" s="149" t="s">
        <v>242</v>
      </c>
      <c r="E9" s="107" t="s">
        <v>5</v>
      </c>
      <c r="I9" s="144"/>
      <c r="J9" s="275">
        <f>'CBS (Total)'!J7/'CBS ($ per kW)'!J$1</f>
        <v>445.0625</v>
      </c>
      <c r="K9" s="207">
        <f t="shared" si="0"/>
        <v>1.7357506576008163E-2</v>
      </c>
      <c r="L9" s="275">
        <f>'CBS (Total)'!L7/'CBS ($ per kW)'!L$1</f>
        <v>89.631249999999994</v>
      </c>
      <c r="M9" s="207">
        <f t="shared" si="1"/>
        <v>9.6536100220610925E-3</v>
      </c>
      <c r="N9" s="275">
        <f>'CBS (Total)'!N7/'CBS ($ per kW)'!N$1</f>
        <v>24.561250000000001</v>
      </c>
      <c r="O9" s="207">
        <f t="shared" si="2"/>
        <v>3.6168840056791489E-3</v>
      </c>
      <c r="P9" s="276">
        <f>'CBS (Total)'!P7/'CBS ($ per kW)'!P$1</f>
        <v>12.280625000000001</v>
      </c>
      <c r="Q9" s="208">
        <f t="shared" si="3"/>
        <v>1.9742228722062338E-3</v>
      </c>
      <c r="R9" s="206"/>
    </row>
    <row r="10" spans="1:19" s="107" customFormat="1" ht="15" outlineLevel="2" x14ac:dyDescent="0.25">
      <c r="A10" s="149" t="s">
        <v>243</v>
      </c>
      <c r="E10" s="107" t="s">
        <v>7</v>
      </c>
      <c r="I10" s="144"/>
      <c r="J10" s="275">
        <f>'CBS (Total)'!J8/'CBS ($ per kW)'!J$1</f>
        <v>369.6875</v>
      </c>
      <c r="K10" s="207">
        <f t="shared" si="0"/>
        <v>1.4417869877417257E-2</v>
      </c>
      <c r="L10" s="275">
        <f>'CBS (Total)'!L8/'CBS ($ per kW)'!L$1</f>
        <v>77.381249999999994</v>
      </c>
      <c r="M10" s="207">
        <f t="shared" si="1"/>
        <v>8.3342406863634588E-3</v>
      </c>
      <c r="N10" s="275">
        <f>'CBS (Total)'!N8/'CBS ($ per kW)'!N$1</f>
        <v>17.763750000000002</v>
      </c>
      <c r="O10" s="207">
        <f t="shared" si="2"/>
        <v>2.6158857247038721E-3</v>
      </c>
      <c r="P10" s="276">
        <f>'CBS (Total)'!P8/'CBS ($ per kW)'!P$1</f>
        <v>8.8818750000000009</v>
      </c>
      <c r="Q10" s="208">
        <f t="shared" si="3"/>
        <v>1.4278427012531319E-3</v>
      </c>
    </row>
    <row r="11" spans="1:19" s="107" customFormat="1" ht="15" outlineLevel="2" x14ac:dyDescent="0.25">
      <c r="A11" s="149" t="s">
        <v>244</v>
      </c>
      <c r="E11" s="107" t="s">
        <v>8</v>
      </c>
      <c r="I11" s="144"/>
      <c r="J11" s="275">
        <f>'CBS (Total)'!J9/'CBS ($ per kW)'!J$1</f>
        <v>275</v>
      </c>
      <c r="K11" s="207">
        <f t="shared" si="0"/>
        <v>1.0725042681426192E-2</v>
      </c>
      <c r="L11" s="275">
        <f>'CBS (Total)'!L9/'CBS ($ per kW)'!L$1</f>
        <v>42.5</v>
      </c>
      <c r="M11" s="207">
        <f t="shared" si="1"/>
        <v>4.5774038177264784E-3</v>
      </c>
      <c r="N11" s="275">
        <f>'CBS (Total)'!N9/'CBS ($ per kW)'!N$1</f>
        <v>9.625</v>
      </c>
      <c r="O11" s="207">
        <f t="shared" si="2"/>
        <v>1.4173752783210058E-3</v>
      </c>
      <c r="P11" s="276">
        <f>'CBS (Total)'!P9/'CBS ($ per kW)'!P$1</f>
        <v>4.8125</v>
      </c>
      <c r="Q11" s="208">
        <f t="shared" si="3"/>
        <v>7.736534233797139E-4</v>
      </c>
    </row>
    <row r="12" spans="1:19" s="107" customFormat="1" ht="15" outlineLevel="1" x14ac:dyDescent="0.25">
      <c r="A12" s="149" t="s">
        <v>4</v>
      </c>
      <c r="D12" s="107" t="s">
        <v>245</v>
      </c>
      <c r="I12" s="144"/>
      <c r="J12" s="275">
        <f>'CBS (Total)'!J10/'CBS ($ per kW)'!J$1</f>
        <v>500</v>
      </c>
      <c r="K12" s="207">
        <f t="shared" si="0"/>
        <v>1.9500077602593077E-2</v>
      </c>
      <c r="L12" s="275">
        <f>'CBS (Total)'!L10/'CBS ($ per kW)'!L$1</f>
        <v>100</v>
      </c>
      <c r="M12" s="207">
        <f t="shared" si="1"/>
        <v>1.0770361924062302E-2</v>
      </c>
      <c r="N12" s="275">
        <f>'CBS (Total)'!N10/'CBS ($ per kW)'!N$1</f>
        <v>40</v>
      </c>
      <c r="O12" s="207">
        <f t="shared" si="2"/>
        <v>5.890390767048336E-3</v>
      </c>
      <c r="P12" s="276">
        <f>'CBS (Total)'!P10/'CBS ($ per kW)'!P$1</f>
        <v>40</v>
      </c>
      <c r="Q12" s="208">
        <f t="shared" si="3"/>
        <v>6.4303661164028169E-3</v>
      </c>
    </row>
    <row r="13" spans="1:19" s="107" customFormat="1" ht="15" outlineLevel="1" x14ac:dyDescent="0.25">
      <c r="A13" s="149" t="s">
        <v>6</v>
      </c>
      <c r="D13" s="107" t="s">
        <v>562</v>
      </c>
      <c r="I13" s="144"/>
      <c r="J13" s="275">
        <f>'CBS (Total)'!J11/'CBS ($ per kW)'!J$1</f>
        <v>1042.958634777792</v>
      </c>
      <c r="K13" s="207">
        <f t="shared" si="0"/>
        <v>4.0675548628922947E-2</v>
      </c>
      <c r="L13" s="275">
        <f>'CBS (Total)'!L11/'CBS ($ per kW)'!L$1</f>
        <v>238.03477581414342</v>
      </c>
      <c r="M13" s="207">
        <f t="shared" si="1"/>
        <v>2.5637206860313566E-2</v>
      </c>
      <c r="N13" s="275">
        <f>'CBS (Total)'!N11/'CBS ($ per kW)'!N$1</f>
        <v>119.58608843687041</v>
      </c>
      <c r="O13" s="207">
        <f t="shared" si="2"/>
        <v>1.761021977989918E-2</v>
      </c>
      <c r="P13" s="276">
        <f>'CBS (Total)'!P11/'CBS ($ per kW)'!P$1</f>
        <v>55.4372578960933</v>
      </c>
      <c r="Q13" s="208">
        <f t="shared" si="3"/>
        <v>8.9120466190330729E-3</v>
      </c>
    </row>
    <row r="14" spans="1:19" s="106" customFormat="1" ht="15" x14ac:dyDescent="0.25">
      <c r="A14" s="119">
        <v>1.2</v>
      </c>
      <c r="C14" s="106" t="s">
        <v>10</v>
      </c>
      <c r="I14" s="147"/>
      <c r="J14" s="274">
        <f>'CBS (Total)'!J12/'CBS ($ per kW)'!J$1</f>
        <v>8721</v>
      </c>
      <c r="K14" s="203">
        <f t="shared" si="0"/>
        <v>0.34012035354442843</v>
      </c>
      <c r="L14" s="274">
        <f>'CBS (Total)'!L12/'CBS ($ per kW)'!L$1</f>
        <v>903.13374999999996</v>
      </c>
      <c r="M14" s="203">
        <f t="shared" si="1"/>
        <v>9.7270773533356017E-2</v>
      </c>
      <c r="N14" s="274">
        <f>'CBS (Total)'!N12/'CBS ($ per kW)'!N$1</f>
        <v>374.23680000000002</v>
      </c>
      <c r="O14" s="203">
        <f t="shared" si="2"/>
        <v>5.5110024785242871E-2</v>
      </c>
      <c r="P14" s="273">
        <f>'CBS (Total)'!P12/'CBS ($ per kW)'!P$1</f>
        <v>299.23680000000002</v>
      </c>
      <c r="Q14" s="209">
        <f t="shared" si="3"/>
        <v>4.8105054487520164E-2</v>
      </c>
    </row>
    <row r="15" spans="1:19" s="107" customFormat="1" ht="15" outlineLevel="1" x14ac:dyDescent="0.25">
      <c r="A15" s="149" t="s">
        <v>9</v>
      </c>
      <c r="D15" s="107" t="s">
        <v>12</v>
      </c>
      <c r="I15" s="144"/>
      <c r="J15" s="275">
        <f>'CBS (Total)'!J13/'CBS ($ per kW)'!J$1</f>
        <v>1110</v>
      </c>
      <c r="K15" s="207">
        <f t="shared" si="0"/>
        <v>4.3290172277756632E-2</v>
      </c>
      <c r="L15" s="275">
        <f>'CBS (Total)'!L13/'CBS ($ per kW)'!L$1</f>
        <v>139.21250000000001</v>
      </c>
      <c r="M15" s="207">
        <f t="shared" si="1"/>
        <v>1.4993690093535234E-2</v>
      </c>
      <c r="N15" s="275">
        <f>'CBS (Total)'!N13/'CBS ($ per kW)'!N$1</f>
        <v>67.488</v>
      </c>
      <c r="O15" s="207">
        <f t="shared" si="2"/>
        <v>9.9382673021639525E-3</v>
      </c>
      <c r="P15" s="276">
        <f>'CBS (Total)'!P13/'CBS ($ per kW)'!P$1</f>
        <v>67.488</v>
      </c>
      <c r="Q15" s="208">
        <f t="shared" si="3"/>
        <v>1.0849313711594833E-2</v>
      </c>
    </row>
    <row r="16" spans="1:19" s="107" customFormat="1" ht="15" outlineLevel="1" x14ac:dyDescent="0.25">
      <c r="A16" s="149" t="s">
        <v>11</v>
      </c>
      <c r="D16" s="107" t="s">
        <v>13</v>
      </c>
      <c r="I16" s="144"/>
      <c r="J16" s="275">
        <f>'CBS (Total)'!J14/'CBS ($ per kW)'!J$1</f>
        <v>111</v>
      </c>
      <c r="K16" s="207">
        <f t="shared" si="0"/>
        <v>4.329017227775663E-3</v>
      </c>
      <c r="L16" s="275">
        <f>'CBS (Total)'!L14/'CBS ($ per kW)'!L$1</f>
        <v>13.921250000000001</v>
      </c>
      <c r="M16" s="207">
        <f t="shared" si="1"/>
        <v>1.4993690093535233E-3</v>
      </c>
      <c r="N16" s="275">
        <f>'CBS (Total)'!N14/'CBS ($ per kW)'!N$1</f>
        <v>6.7488000000000001</v>
      </c>
      <c r="O16" s="207">
        <f t="shared" si="2"/>
        <v>9.9382673021639533E-4</v>
      </c>
      <c r="P16" s="276">
        <f>'CBS (Total)'!P14/'CBS ($ per kW)'!P$1</f>
        <v>6.7488000000000001</v>
      </c>
      <c r="Q16" s="208">
        <f t="shared" si="3"/>
        <v>1.0849313711594833E-3</v>
      </c>
    </row>
    <row r="17" spans="1:27" s="107" customFormat="1" ht="15" outlineLevel="1" x14ac:dyDescent="0.25">
      <c r="A17" s="149" t="s">
        <v>14</v>
      </c>
      <c r="D17" s="107" t="s">
        <v>15</v>
      </c>
      <c r="I17" s="144"/>
      <c r="J17" s="275">
        <f>'CBS (Total)'!J15/'CBS ($ per kW)'!J$1</f>
        <v>0</v>
      </c>
      <c r="K17" s="207">
        <f t="shared" si="0"/>
        <v>0</v>
      </c>
      <c r="L17" s="275">
        <f>'CBS (Total)'!L15/'CBS ($ per kW)'!L$1</f>
        <v>0</v>
      </c>
      <c r="M17" s="207">
        <f t="shared" si="1"/>
        <v>0</v>
      </c>
      <c r="N17" s="275">
        <f>'CBS (Total)'!N15/'CBS ($ per kW)'!N$1</f>
        <v>0</v>
      </c>
      <c r="O17" s="207">
        <f t="shared" si="2"/>
        <v>0</v>
      </c>
      <c r="P17" s="276">
        <f>'CBS (Total)'!P15/'CBS ($ per kW)'!P$1</f>
        <v>0</v>
      </c>
      <c r="Q17" s="208">
        <f t="shared" si="3"/>
        <v>0</v>
      </c>
    </row>
    <row r="18" spans="1:27" s="107" customFormat="1" ht="15" outlineLevel="1" x14ac:dyDescent="0.25">
      <c r="A18" s="149" t="s">
        <v>16</v>
      </c>
      <c r="D18" s="107" t="s">
        <v>61</v>
      </c>
      <c r="I18" s="144"/>
      <c r="J18" s="275">
        <f>'CBS (Total)'!J16/'CBS ($ per kW)'!J$1</f>
        <v>7500</v>
      </c>
      <c r="K18" s="207">
        <f t="shared" si="0"/>
        <v>0.29250116403889614</v>
      </c>
      <c r="L18" s="275">
        <f>'CBS (Total)'!L16/'CBS ($ per kW)'!L$1</f>
        <v>750</v>
      </c>
      <c r="M18" s="207">
        <f t="shared" si="1"/>
        <v>8.0777714430467273E-2</v>
      </c>
      <c r="N18" s="275">
        <f>'CBS (Total)'!N16/'CBS ($ per kW)'!N$1</f>
        <v>300</v>
      </c>
      <c r="O18" s="207">
        <f t="shared" si="2"/>
        <v>4.417793075286252E-2</v>
      </c>
      <c r="P18" s="276">
        <f>'CBS (Total)'!P16/'CBS ($ per kW)'!P$1</f>
        <v>225</v>
      </c>
      <c r="Q18" s="208">
        <f t="shared" si="3"/>
        <v>3.6170809404765844E-2</v>
      </c>
    </row>
    <row r="19" spans="1:27" s="107" customFormat="1" ht="15" outlineLevel="1" x14ac:dyDescent="0.25">
      <c r="A19" s="149" t="s">
        <v>17</v>
      </c>
      <c r="D19" s="107" t="s">
        <v>18</v>
      </c>
      <c r="I19" s="144"/>
      <c r="J19" s="275">
        <f>'CBS (Total)'!J17/'CBS ($ per kW)'!J$1</f>
        <v>0</v>
      </c>
      <c r="K19" s="207">
        <f t="shared" si="0"/>
        <v>0</v>
      </c>
      <c r="L19" s="275">
        <f>'CBS (Total)'!L17/'CBS ($ per kW)'!L$1</f>
        <v>0</v>
      </c>
      <c r="M19" s="207">
        <f t="shared" si="1"/>
        <v>0</v>
      </c>
      <c r="N19" s="275">
        <f>'CBS (Total)'!N17/'CBS ($ per kW)'!N$1</f>
        <v>0</v>
      </c>
      <c r="O19" s="207">
        <f t="shared" si="2"/>
        <v>0</v>
      </c>
      <c r="P19" s="276">
        <f>'CBS (Total)'!P17/'CBS ($ per kW)'!P$1</f>
        <v>0</v>
      </c>
      <c r="Q19" s="208">
        <f t="shared" si="3"/>
        <v>0</v>
      </c>
    </row>
    <row r="20" spans="1:27" s="106" customFormat="1" ht="15" x14ac:dyDescent="0.25">
      <c r="A20" s="119">
        <v>1.3</v>
      </c>
      <c r="C20" s="106" t="s">
        <v>19</v>
      </c>
      <c r="I20" s="147"/>
      <c r="J20" s="274">
        <f>'CBS (Total)'!J18/'CBS ($ per kW)'!J$1</f>
        <v>555.22103307086616</v>
      </c>
      <c r="K20" s="203">
        <f t="shared" si="0"/>
        <v>2.1653706462947574E-2</v>
      </c>
      <c r="L20" s="274">
        <f>'CBS (Total)'!L18/'CBS ($ per kW)'!L$1</f>
        <v>458.83262557086607</v>
      </c>
      <c r="M20" s="203">
        <f t="shared" si="1"/>
        <v>4.9417934399659913E-2</v>
      </c>
      <c r="N20" s="274">
        <f>'CBS (Total)'!N18/'CBS ($ per kW)'!N$1</f>
        <v>449.56756207086613</v>
      </c>
      <c r="O20" s="203">
        <f t="shared" si="2"/>
        <v>6.6203215419666492E-2</v>
      </c>
      <c r="P20" s="273">
        <f>'CBS (Total)'!P18/'CBS ($ per kW)'!P$1</f>
        <v>448.63531207086618</v>
      </c>
      <c r="Q20" s="209">
        <f t="shared" si="3"/>
        <v>7.2122232734057545E-2</v>
      </c>
    </row>
    <row r="21" spans="1:27" s="107" customFormat="1" ht="15" outlineLevel="1" x14ac:dyDescent="0.25">
      <c r="A21" s="149" t="s">
        <v>20</v>
      </c>
      <c r="D21" s="107" t="s">
        <v>21</v>
      </c>
      <c r="I21" s="144"/>
      <c r="J21" s="275">
        <f>'CBS (Total)'!J19/'CBS ($ per kW)'!J$1</f>
        <v>362.47539370078738</v>
      </c>
      <c r="K21" s="207">
        <f t="shared" si="0"/>
        <v>1.4136596612391663E-2</v>
      </c>
      <c r="L21" s="275">
        <f>'CBS (Total)'!L19/'CBS ($ per kW)'!L$1</f>
        <v>362.47539370078738</v>
      </c>
      <c r="M21" s="207">
        <f t="shared" si="1"/>
        <v>3.903991178724453E-2</v>
      </c>
      <c r="N21" s="275">
        <f>'CBS (Total)'!N19/'CBS ($ per kW)'!N$1</f>
        <v>362.47539370078744</v>
      </c>
      <c r="O21" s="207">
        <f t="shared" si="2"/>
        <v>5.3378042808433224E-2</v>
      </c>
      <c r="P21" s="276">
        <f>'CBS (Total)'!P19/'CBS ($ per kW)'!P$1</f>
        <v>362.47539370078744</v>
      </c>
      <c r="Q21" s="208">
        <f t="shared" si="3"/>
        <v>5.8271237242082864E-2</v>
      </c>
    </row>
    <row r="22" spans="1:27" s="107" customFormat="1" ht="15" outlineLevel="1" x14ac:dyDescent="0.25">
      <c r="A22" s="149" t="s">
        <v>22</v>
      </c>
      <c r="D22" s="107" t="s">
        <v>23</v>
      </c>
      <c r="I22" s="144"/>
      <c r="J22" s="275">
        <f>'CBS (Total)'!J20/'CBS ($ per kW)'!J$1</f>
        <v>142.27099999999999</v>
      </c>
      <c r="K22" s="207">
        <f t="shared" si="0"/>
        <v>5.548591081197039E-3</v>
      </c>
      <c r="L22" s="275">
        <f>'CBS (Total)'!L20/'CBS ($ per kW)'!L$1</f>
        <v>54.645175000000002</v>
      </c>
      <c r="M22" s="207">
        <f t="shared" si="1"/>
        <v>5.8854831215372121E-3</v>
      </c>
      <c r="N22" s="275">
        <f>'CBS (Total)'!N20/'CBS ($ per kW)'!N$1</f>
        <v>46.222389999999997</v>
      </c>
      <c r="O22" s="207">
        <f t="shared" si="2"/>
        <v>6.8066984821726828E-3</v>
      </c>
      <c r="P22" s="276">
        <f>'CBS (Total)'!P20/'CBS ($ per kW)'!P$1</f>
        <v>45.374890000000001</v>
      </c>
      <c r="Q22" s="208">
        <f t="shared" si="3"/>
        <v>7.2944288797876259E-3</v>
      </c>
    </row>
    <row r="23" spans="1:27" s="107" customFormat="1" ht="15" outlineLevel="1" x14ac:dyDescent="0.25">
      <c r="A23" s="149" t="s">
        <v>24</v>
      </c>
      <c r="D23" s="107" t="s">
        <v>25</v>
      </c>
      <c r="I23" s="144"/>
      <c r="J23" s="275">
        <f>'CBS (Total)'!J21/'CBS ($ per kW)'!J$1</f>
        <v>0</v>
      </c>
      <c r="K23" s="207">
        <f t="shared" si="0"/>
        <v>0</v>
      </c>
      <c r="L23" s="275">
        <f>'CBS (Total)'!L21/'CBS ($ per kW)'!L$1</f>
        <v>0</v>
      </c>
      <c r="M23" s="207">
        <f t="shared" si="1"/>
        <v>0</v>
      </c>
      <c r="N23" s="275">
        <f>'CBS (Total)'!N21/'CBS ($ per kW)'!N$1</f>
        <v>0</v>
      </c>
      <c r="O23" s="207">
        <f t="shared" si="2"/>
        <v>0</v>
      </c>
      <c r="P23" s="276">
        <f>'CBS (Total)'!P21/'CBS ($ per kW)'!P$1</f>
        <v>0</v>
      </c>
      <c r="Q23" s="208">
        <f t="shared" si="3"/>
        <v>0</v>
      </c>
    </row>
    <row r="24" spans="1:27" s="107" customFormat="1" ht="15" outlineLevel="1" x14ac:dyDescent="0.25">
      <c r="A24" s="149" t="s">
        <v>26</v>
      </c>
      <c r="D24" s="107" t="s">
        <v>27</v>
      </c>
      <c r="I24" s="144"/>
      <c r="J24" s="275">
        <f>'CBS (Total)'!J22/'CBS ($ per kW)'!J$1</f>
        <v>50.474639370078748</v>
      </c>
      <c r="K24" s="207">
        <f t="shared" si="0"/>
        <v>1.9685187693588707E-3</v>
      </c>
      <c r="L24" s="275">
        <f>'CBS (Total)'!L22/'CBS ($ per kW)'!L$1</f>
        <v>41.71205687007874</v>
      </c>
      <c r="M24" s="207">
        <f t="shared" si="1"/>
        <v>4.4925394908781743E-3</v>
      </c>
      <c r="N24" s="275">
        <f>'CBS (Total)'!N22/'CBS ($ per kW)'!N$1</f>
        <v>40.869778370078748</v>
      </c>
      <c r="O24" s="207">
        <f t="shared" si="2"/>
        <v>6.0184741290605914E-3</v>
      </c>
      <c r="P24" s="276">
        <f>'CBS (Total)'!P22/'CBS ($ per kW)'!P$1</f>
        <v>40.785028370078749</v>
      </c>
      <c r="Q24" s="208">
        <f t="shared" si="3"/>
        <v>6.55656661218705E-3</v>
      </c>
      <c r="R24" s="221"/>
    </row>
    <row r="25" spans="1:27" s="107" customFormat="1" ht="15" outlineLevel="1" x14ac:dyDescent="0.25">
      <c r="A25" s="149" t="s">
        <v>28</v>
      </c>
      <c r="D25" s="107" t="s">
        <v>18</v>
      </c>
      <c r="I25" s="144"/>
      <c r="J25" s="275">
        <f>'CBS (Total)'!J23/'CBS ($ per kW)'!J$1</f>
        <v>0</v>
      </c>
      <c r="K25" s="207">
        <f t="shared" si="0"/>
        <v>0</v>
      </c>
      <c r="L25" s="275">
        <f>'CBS (Total)'!L23/'CBS ($ per kW)'!L$1</f>
        <v>0</v>
      </c>
      <c r="M25" s="207">
        <f t="shared" si="1"/>
        <v>0</v>
      </c>
      <c r="N25" s="275">
        <f>'CBS (Total)'!N23/'CBS ($ per kW)'!N$1</f>
        <v>0</v>
      </c>
      <c r="O25" s="207">
        <f t="shared" si="2"/>
        <v>0</v>
      </c>
      <c r="P25" s="276">
        <f>'CBS (Total)'!P23/'CBS ($ per kW)'!P$1</f>
        <v>0</v>
      </c>
      <c r="Q25" s="208">
        <f t="shared" si="3"/>
        <v>0</v>
      </c>
      <c r="R25" s="206"/>
      <c r="S25" s="206"/>
      <c r="T25" s="206"/>
      <c r="U25" s="206"/>
    </row>
    <row r="26" spans="1:27" s="106" customFormat="1" ht="15" x14ac:dyDescent="0.25">
      <c r="A26" s="119">
        <v>1.4</v>
      </c>
      <c r="C26" s="106" t="s">
        <v>29</v>
      </c>
      <c r="I26" s="234">
        <f>SUM(I27:I31)</f>
        <v>1689.3025</v>
      </c>
      <c r="J26" s="274">
        <f>'CBS (Total)'!J24/'CBS ($ per kW)'!J$1</f>
        <v>2214.004912700585</v>
      </c>
      <c r="K26" s="203">
        <f t="shared" si="0"/>
        <v>8.6346535220367435E-2</v>
      </c>
      <c r="L26" s="274">
        <f>'CBS (Total)'!L24/'CBS ($ per kW)'!L$1</f>
        <v>1464.5352233315534</v>
      </c>
      <c r="M26" s="203">
        <f t="shared" si="1"/>
        <v>0.15773574405818244</v>
      </c>
      <c r="N26" s="274">
        <f>'CBS (Total)'!N24/'CBS ($ per kW)'!N$1</f>
        <v>1247.3769736324275</v>
      </c>
      <c r="O26" s="203">
        <f t="shared" si="2"/>
        <v>0.18368844521282868</v>
      </c>
      <c r="P26" s="273">
        <f>'CBS (Total)'!P24/'CBS ($ per kW)'!P$1</f>
        <v>1189.4071054826982</v>
      </c>
      <c r="Q26" s="209">
        <f t="shared" si="3"/>
        <v>0.19120807874261733</v>
      </c>
      <c r="R26" s="212"/>
      <c r="S26" s="212"/>
      <c r="T26" s="212"/>
      <c r="U26" s="212"/>
      <c r="V26" s="213"/>
      <c r="W26" s="212"/>
      <c r="X26" s="212"/>
      <c r="Y26" s="212"/>
    </row>
    <row r="27" spans="1:27" s="107" customFormat="1" ht="15" outlineLevel="1" x14ac:dyDescent="0.25">
      <c r="A27" s="149" t="s">
        <v>30</v>
      </c>
      <c r="D27" s="107" t="str">
        <f>'1.4'!D4</f>
        <v>Wing</v>
      </c>
      <c r="I27" s="277">
        <f>'1.4'!E23</f>
        <v>1170.6500000000001</v>
      </c>
      <c r="J27" s="275">
        <f>'CBS (Total)'!J25/'CBS ($ per kW)'!J$1</f>
        <v>1446.6797105184482</v>
      </c>
      <c r="K27" s="207">
        <f t="shared" si="0"/>
        <v>5.6420733242413257E-2</v>
      </c>
      <c r="L27" s="275">
        <f>'CBS (Total)'!L25/'CBS ($ per kW)'!L$1</f>
        <v>955.53711523080597</v>
      </c>
      <c r="M27" s="207">
        <f t="shared" si="1"/>
        <v>0.10291480562910205</v>
      </c>
      <c r="N27" s="275">
        <f>'CBS (Total)'!N25/'CBS ($ per kW)'!N$1</f>
        <v>813.5578886092959</v>
      </c>
      <c r="O27" s="207">
        <f t="shared" si="2"/>
        <v>0.11980434688808837</v>
      </c>
      <c r="P27" s="276">
        <f>'CBS (Total)'!P25/'CBS ($ per kW)'!P$1</f>
        <v>775.63163140150255</v>
      </c>
      <c r="Q27" s="208">
        <f t="shared" si="3"/>
        <v>0.12468988403436153</v>
      </c>
      <c r="R27" s="276"/>
      <c r="S27" s="276"/>
      <c r="T27" s="276"/>
      <c r="U27" s="276"/>
      <c r="V27" s="206"/>
      <c r="W27" s="206"/>
      <c r="X27" s="206"/>
      <c r="Y27" s="206"/>
      <c r="AA27" s="221"/>
    </row>
    <row r="28" spans="1:27" s="107" customFormat="1" ht="15" outlineLevel="1" x14ac:dyDescent="0.25">
      <c r="A28" s="149" t="s">
        <v>31</v>
      </c>
      <c r="D28" s="107" t="str">
        <f>'1.4'!D5</f>
        <v>PTO and Power Electronics Nacelle</v>
      </c>
      <c r="I28" s="277">
        <f>'1.4'!E36</f>
        <v>118.77</v>
      </c>
      <c r="J28" s="275">
        <f>'CBS (Total)'!J26/'CBS ($ per kW)'!J$1</f>
        <v>174.97135506562694</v>
      </c>
      <c r="K28" s="207">
        <f t="shared" si="0"/>
        <v>6.8239100040211852E-3</v>
      </c>
      <c r="L28" s="275">
        <f>'CBS (Total)'!L26/'CBS ($ per kW)'!L$1</f>
        <v>114.28286424025507</v>
      </c>
      <c r="M28" s="207">
        <f t="shared" si="1"/>
        <v>1.2308678095860245E-2</v>
      </c>
      <c r="N28" s="275">
        <f>'CBS (Total)'!N26/'CBS ($ per kW)'!N$1</f>
        <v>96.298680030549789</v>
      </c>
      <c r="O28" s="207">
        <f t="shared" si="2"/>
        <v>1.4180921393272311E-2</v>
      </c>
      <c r="P28" s="276">
        <f>'CBS (Total)'!P26/'CBS ($ per kW)'!P$1</f>
        <v>91.305824432211224</v>
      </c>
      <c r="Q28" s="208">
        <f t="shared" si="3"/>
        <v>1.4678246991477888E-2</v>
      </c>
      <c r="R28" s="276"/>
      <c r="S28" s="276"/>
      <c r="T28" s="276"/>
      <c r="U28" s="276"/>
      <c r="V28" s="206"/>
      <c r="W28" s="206"/>
      <c r="X28" s="206"/>
      <c r="Y28" s="206"/>
    </row>
    <row r="29" spans="1:27" s="107" customFormat="1" ht="15" outlineLevel="1" x14ac:dyDescent="0.25">
      <c r="A29" s="149" t="s">
        <v>32</v>
      </c>
      <c r="D29" s="107" t="str">
        <f>'1.4'!D6</f>
        <v>Fairing</v>
      </c>
      <c r="I29" s="277">
        <f>'1.4'!E48</f>
        <v>176.83</v>
      </c>
      <c r="J29" s="275">
        <f>'CBS (Total)'!J27/'CBS ($ per kW)'!J$1</f>
        <v>181.43175026382741</v>
      </c>
      <c r="K29" s="207">
        <f t="shared" si="0"/>
        <v>7.0758664194378431E-3</v>
      </c>
      <c r="L29" s="275">
        <f>'CBS (Total)'!L27/'CBS ($ per kW)'!L$1</f>
        <v>126.32133275461096</v>
      </c>
      <c r="M29" s="207">
        <f t="shared" si="1"/>
        <v>1.360526472497066E-2</v>
      </c>
      <c r="N29" s="275">
        <f>'CBS (Total)'!N27/'CBS ($ per kW)'!N$1</f>
        <v>111.33804704264641</v>
      </c>
      <c r="O29" s="207">
        <f t="shared" si="2"/>
        <v>1.6395615108029941E-2</v>
      </c>
      <c r="P29" s="276">
        <f>'CBS (Total)'!P27/'CBS ($ per kW)'!P$1</f>
        <v>107.96736717386379</v>
      </c>
      <c r="Q29" s="208">
        <f t="shared" si="3"/>
        <v>1.7356742488800887E-2</v>
      </c>
      <c r="R29" s="276"/>
      <c r="S29" s="276"/>
      <c r="T29" s="276"/>
      <c r="U29" s="276"/>
      <c r="V29" s="206"/>
      <c r="W29" s="206"/>
      <c r="X29" s="206"/>
      <c r="Y29" s="206"/>
    </row>
    <row r="30" spans="1:27" s="107" customFormat="1" ht="15" outlineLevel="1" x14ac:dyDescent="0.25">
      <c r="A30" s="149" t="s">
        <v>33</v>
      </c>
      <c r="D30" s="107" t="str">
        <f>'1.4'!D7</f>
        <v>Device Access (Railings, Ladders, etc)</v>
      </c>
      <c r="I30" s="277">
        <f>'1.4'!E58</f>
        <v>73.3125</v>
      </c>
      <c r="J30" s="275">
        <f>'CBS (Total)'!J28/'CBS ($ per kW)'!J$1</f>
        <v>180.30828158479028</v>
      </c>
      <c r="K30" s="207">
        <f t="shared" si="0"/>
        <v>7.0320509665872293E-3</v>
      </c>
      <c r="L30" s="275">
        <f>'CBS (Total)'!L28/'CBS ($ per kW)'!L$1</f>
        <v>119.95875826984002</v>
      </c>
      <c r="M30" s="207">
        <f t="shared" si="1"/>
        <v>1.2919992425272787E-2</v>
      </c>
      <c r="N30" s="275">
        <f>'CBS (Total)'!N28/'CBS ($ per kW)'!N$1</f>
        <v>102.35403921173423</v>
      </c>
      <c r="O30" s="207">
        <f t="shared" si="2"/>
        <v>1.5072632188572566E-2</v>
      </c>
      <c r="P30" s="276">
        <f>'CBS (Total)'!P28/'CBS ($ per kW)'!P$1</f>
        <v>97.696763543657809</v>
      </c>
      <c r="Q30" s="208">
        <f t="shared" si="3"/>
        <v>1.5705648949333881E-2</v>
      </c>
    </row>
    <row r="31" spans="1:27" s="107" customFormat="1" ht="15" outlineLevel="1" x14ac:dyDescent="0.25">
      <c r="A31" s="149" t="s">
        <v>76</v>
      </c>
      <c r="D31" s="107" t="str">
        <f>'1.4'!D8</f>
        <v>Buoyancy Tank</v>
      </c>
      <c r="I31" s="277">
        <f>'1.4'!E70</f>
        <v>149.74</v>
      </c>
      <c r="J31" s="275">
        <f>'CBS (Total)'!J29/'CBS ($ per kW)'!J$1</f>
        <v>230.61381526789245</v>
      </c>
      <c r="K31" s="207">
        <f t="shared" si="0"/>
        <v>8.9939745879079342E-3</v>
      </c>
      <c r="L31" s="275">
        <f>'CBS (Total)'!L29/'CBS ($ per kW)'!L$1</f>
        <v>148.43515283604148</v>
      </c>
      <c r="M31" s="207">
        <f t="shared" si="1"/>
        <v>1.5987003182976696E-2</v>
      </c>
      <c r="N31" s="275">
        <f>'CBS (Total)'!N29/'CBS ($ per kW)'!N$1</f>
        <v>123.82831873820126</v>
      </c>
      <c r="O31" s="207">
        <f t="shared" si="2"/>
        <v>1.823492963486548E-2</v>
      </c>
      <c r="P31" s="276">
        <f>'CBS (Total)'!P29/'CBS ($ per kW)'!P$1</f>
        <v>116.80551893146291</v>
      </c>
      <c r="Q31" s="208">
        <f t="shared" si="3"/>
        <v>1.8777556278643172E-2</v>
      </c>
      <c r="R31" s="276"/>
      <c r="S31" s="276"/>
      <c r="T31" s="276"/>
      <c r="U31" s="276"/>
    </row>
    <row r="32" spans="1:27" s="106" customFormat="1" ht="15" x14ac:dyDescent="0.25">
      <c r="A32" s="119">
        <v>1.5</v>
      </c>
      <c r="C32" s="106" t="s">
        <v>34</v>
      </c>
      <c r="I32" s="234">
        <f>SUM(I33:I45)</f>
        <v>673.55404081632639</v>
      </c>
      <c r="J32" s="274">
        <f>'CBS (Total)'!J30/'CBS ($ per kW)'!J$1</f>
        <v>5405.711322870774</v>
      </c>
      <c r="K32" s="203">
        <f t="shared" si="0"/>
        <v>0.21082358058639236</v>
      </c>
      <c r="L32" s="274">
        <f>'CBS (Total)'!L30/'CBS ($ per kW)'!L$1</f>
        <v>3759.9146249471714</v>
      </c>
      <c r="M32" s="203">
        <f t="shared" si="1"/>
        <v>0.40495641314256009</v>
      </c>
      <c r="N32" s="274">
        <f>'CBS (Total)'!N30/'CBS ($ per kW)'!N$1</f>
        <v>3003.9061024761309</v>
      </c>
      <c r="O32" s="203">
        <f t="shared" si="2"/>
        <v>0.44235451927763886</v>
      </c>
      <c r="P32" s="273">
        <f>'CBS (Total)'!P30/'CBS ($ per kW)'!P$1</f>
        <v>2746.7078826467555</v>
      </c>
      <c r="Q32" s="209">
        <f t="shared" si="3"/>
        <v>0.44155843250570553</v>
      </c>
    </row>
    <row r="33" spans="1:18" s="107" customFormat="1" ht="15" outlineLevel="1" x14ac:dyDescent="0.25">
      <c r="A33" s="149" t="s">
        <v>35</v>
      </c>
      <c r="D33" s="107" t="s">
        <v>36</v>
      </c>
      <c r="I33" s="277">
        <f>'1.5'!L4/1000</f>
        <v>20.952380952380949</v>
      </c>
      <c r="J33" s="275">
        <f>'CBS (Total)'!J31/'CBS ($ per kW)'!J$1</f>
        <v>354</v>
      </c>
      <c r="K33" s="207">
        <f t="shared" si="0"/>
        <v>1.3806054942635898E-2</v>
      </c>
      <c r="L33" s="275">
        <f>'CBS (Total)'!L31/'CBS ($ per kW)'!L$1</f>
        <v>179.04218597933092</v>
      </c>
      <c r="M33" s="207">
        <f t="shared" si="1"/>
        <v>1.9283491426726671E-2</v>
      </c>
      <c r="N33" s="275">
        <f>'CBS (Total)'!N31/'CBS ($ per kW)'!N$1</f>
        <v>111.18002732126745</v>
      </c>
      <c r="O33" s="207">
        <f t="shared" si="2"/>
        <v>1.6372345160334388E-2</v>
      </c>
      <c r="P33" s="276">
        <f>'CBS (Total)'!P31/'CBS ($ per kW)'!P$1</f>
        <v>90.553967119370981</v>
      </c>
      <c r="Q33" s="208">
        <f t="shared" si="3"/>
        <v>1.455737904675645E-2</v>
      </c>
    </row>
    <row r="34" spans="1:18" s="107" customFormat="1" ht="15" outlineLevel="1" x14ac:dyDescent="0.25">
      <c r="A34" s="149" t="s">
        <v>37</v>
      </c>
      <c r="D34" s="107" t="s">
        <v>74</v>
      </c>
      <c r="I34" s="277">
        <f>'1.5'!L5/1000</f>
        <v>321.65532879818591</v>
      </c>
      <c r="J34" s="275">
        <f>'CBS (Total)'!J32/'CBS ($ per kW)'!J$1</f>
        <v>1806.4125132867755</v>
      </c>
      <c r="K34" s="207">
        <f t="shared" si="0"/>
        <v>7.0450368382774645E-2</v>
      </c>
      <c r="L34" s="275">
        <f>'CBS (Total)'!L32/'CBS ($ per kW)'!L$1</f>
        <v>1106.4824738693835</v>
      </c>
      <c r="M34" s="207">
        <f t="shared" si="1"/>
        <v>0.11917216706205069</v>
      </c>
      <c r="N34" s="275">
        <f>'CBS (Total)'!N32/'CBS ($ per kW)'!N$1</f>
        <v>785.51253784431231</v>
      </c>
      <c r="O34" s="207">
        <f t="shared" si="2"/>
        <v>0.1156743950079711</v>
      </c>
      <c r="P34" s="276">
        <f>'CBS (Total)'!P32/'CBS ($ per kW)'!P$1</f>
        <v>677.75408771526145</v>
      </c>
      <c r="Q34" s="208">
        <f t="shared" si="3"/>
        <v>0.10895517302244301</v>
      </c>
    </row>
    <row r="35" spans="1:18" s="107" customFormat="1" ht="15" outlineLevel="1" x14ac:dyDescent="0.25">
      <c r="A35" s="149" t="s">
        <v>38</v>
      </c>
      <c r="D35" s="107" t="s">
        <v>40</v>
      </c>
      <c r="I35" s="277">
        <f>'1.5'!L6/1000</f>
        <v>0</v>
      </c>
      <c r="J35" s="275">
        <f>'CBS (Total)'!J33/'CBS ($ per kW)'!J$1</f>
        <v>23.44166666666667</v>
      </c>
      <c r="K35" s="207">
        <f t="shared" si="0"/>
        <v>9.1422863826823894E-4</v>
      </c>
      <c r="L35" s="275">
        <f>'CBS (Total)'!L33/'CBS ($ per kW)'!L$1</f>
        <v>19.769145812504121</v>
      </c>
      <c r="M35" s="207">
        <f t="shared" si="1"/>
        <v>2.1292085533023007E-3</v>
      </c>
      <c r="N35" s="275">
        <f>'CBS (Total)'!N33/'CBS ($ per kW)'!N$1</f>
        <v>17.54945839382038</v>
      </c>
      <c r="O35" s="207">
        <f t="shared" si="2"/>
        <v>2.5843291922414621E-3</v>
      </c>
      <c r="P35" s="276">
        <f>'CBS (Total)'!P33/'CBS ($ per kW)'!P$1</f>
        <v>16.671985474129361</v>
      </c>
      <c r="Q35" s="208">
        <f t="shared" si="3"/>
        <v>2.6801742621500352E-3</v>
      </c>
    </row>
    <row r="36" spans="1:18" s="107" customFormat="1" ht="15" outlineLevel="1" x14ac:dyDescent="0.25">
      <c r="A36" s="149" t="s">
        <v>39</v>
      </c>
      <c r="D36" s="107" t="s">
        <v>41</v>
      </c>
      <c r="I36" s="277">
        <f>'1.5'!L7/1000</f>
        <v>9.0376417233560105</v>
      </c>
      <c r="J36" s="275">
        <f>'CBS (Total)'!J34/'CBS ($ per kW)'!J$1</f>
        <v>250</v>
      </c>
      <c r="K36" s="207">
        <f t="shared" si="0"/>
        <v>9.7500388012965386E-3</v>
      </c>
      <c r="L36" s="275">
        <f>'CBS (Total)'!L34/'CBS ($ per kW)'!L$1</f>
        <v>163.61855398333756</v>
      </c>
      <c r="M36" s="207">
        <f t="shared" si="1"/>
        <v>1.7622310438922713E-2</v>
      </c>
      <c r="N36" s="275">
        <f>'CBS (Total)'!N34/'CBS ($ per kW)'!N$1</f>
        <v>121.65976103786394</v>
      </c>
      <c r="O36" s="207">
        <f t="shared" si="2"/>
        <v>1.7915588328468516E-2</v>
      </c>
      <c r="P36" s="276">
        <f>'CBS (Total)'!P34/'CBS ($ per kW)'!P$1</f>
        <v>107.08412483039342</v>
      </c>
      <c r="Q36" s="208">
        <f t="shared" si="3"/>
        <v>1.7214753197850284E-2</v>
      </c>
    </row>
    <row r="37" spans="1:18" s="107" customFormat="1" ht="15" outlineLevel="1" x14ac:dyDescent="0.25">
      <c r="A37" s="149" t="s">
        <v>42</v>
      </c>
      <c r="D37" s="107" t="s">
        <v>43</v>
      </c>
      <c r="I37" s="277">
        <f>'1.5'!L8/1000</f>
        <v>24.943310657596371</v>
      </c>
      <c r="J37" s="275">
        <f>'CBS (Total)'!J35/'CBS ($ per kW)'!J$1</f>
        <v>218.75</v>
      </c>
      <c r="K37" s="207">
        <f t="shared" si="0"/>
        <v>8.5312839511344704E-3</v>
      </c>
      <c r="L37" s="275">
        <f>'CBS (Total)'!L35/'CBS ($ per kW)'!L$1</f>
        <v>184.47923127558943</v>
      </c>
      <c r="M37" s="207">
        <f t="shared" si="1"/>
        <v>1.9869080883108917E-2</v>
      </c>
      <c r="N37" s="275">
        <f>'CBS (Total)'!N35/'CBS ($ per kW)'!N$1</f>
        <v>163.76583108346424</v>
      </c>
      <c r="O37" s="207">
        <f t="shared" si="2"/>
        <v>2.4116118484300876E-2</v>
      </c>
      <c r="P37" s="276">
        <f>'CBS (Total)'!P35/'CBS ($ per kW)'!P$1</f>
        <v>155.57753952929102</v>
      </c>
      <c r="Q37" s="208">
        <f t="shared" si="3"/>
        <v>2.5010513466561822E-2</v>
      </c>
    </row>
    <row r="38" spans="1:18" s="107" customFormat="1" ht="15" outlineLevel="1" x14ac:dyDescent="0.25">
      <c r="A38" s="149" t="s">
        <v>44</v>
      </c>
      <c r="D38" s="107" t="s">
        <v>45</v>
      </c>
      <c r="I38" s="277">
        <f>'1.5'!L9/1000</f>
        <v>0</v>
      </c>
      <c r="J38" s="275">
        <f>'CBS (Total)'!J36/'CBS ($ per kW)'!J$1</f>
        <v>108</v>
      </c>
      <c r="K38" s="207">
        <f t="shared" si="0"/>
        <v>4.2120167621601048E-3</v>
      </c>
      <c r="L38" s="275">
        <f>'CBS (Total)'!L36/'CBS ($ per kW)'!L$1</f>
        <v>100.98977621195226</v>
      </c>
      <c r="M38" s="207">
        <f t="shared" si="1"/>
        <v>1.0876964404327834E-2</v>
      </c>
      <c r="N38" s="275">
        <f>'CBS (Total)'!N36/'CBS ($ per kW)'!N$1</f>
        <v>96.361818776834866</v>
      </c>
      <c r="O38" s="207">
        <f t="shared" si="2"/>
        <v>1.4190219190476326E-2</v>
      </c>
      <c r="P38" s="276">
        <f>'CBS (Total)'!P36/'CBS ($ per kW)'!P$1</f>
        <v>94.434582401298158</v>
      </c>
      <c r="Q38" s="208">
        <f t="shared" si="3"/>
        <v>1.5181223472248937E-2</v>
      </c>
    </row>
    <row r="39" spans="1:18" s="107" customFormat="1" ht="15" outlineLevel="1" x14ac:dyDescent="0.25">
      <c r="A39" s="149" t="s">
        <v>46</v>
      </c>
      <c r="D39" s="107" t="s">
        <v>47</v>
      </c>
      <c r="I39" s="277">
        <f>'1.5'!L10/1000</f>
        <v>0</v>
      </c>
      <c r="J39" s="275">
        <f>'CBS (Total)'!J37/'CBS ($ per kW)'!J$1</f>
        <v>0</v>
      </c>
      <c r="K39" s="207">
        <f t="shared" si="0"/>
        <v>0</v>
      </c>
      <c r="L39" s="275">
        <f>'CBS (Total)'!L37/'CBS ($ per kW)'!L$1</f>
        <v>0</v>
      </c>
      <c r="M39" s="207">
        <f t="shared" si="1"/>
        <v>0</v>
      </c>
      <c r="N39" s="275">
        <f>'CBS (Total)'!N37/'CBS ($ per kW)'!N$1</f>
        <v>0</v>
      </c>
      <c r="O39" s="207">
        <f t="shared" si="2"/>
        <v>0</v>
      </c>
      <c r="P39" s="276">
        <f>'CBS (Total)'!P37/'CBS ($ per kW)'!P$1</f>
        <v>0</v>
      </c>
      <c r="Q39" s="208">
        <f t="shared" si="3"/>
        <v>0</v>
      </c>
    </row>
    <row r="40" spans="1:18" s="107" customFormat="1" ht="15" outlineLevel="1" x14ac:dyDescent="0.25">
      <c r="A40" s="149" t="s">
        <v>48</v>
      </c>
      <c r="D40" s="107" t="s">
        <v>62</v>
      </c>
      <c r="I40" s="277">
        <f>'1.5'!L11/1000</f>
        <v>39.267682539682546</v>
      </c>
      <c r="J40" s="275">
        <f>'CBS (Total)'!J38/'CBS ($ per kW)'!J$1</f>
        <v>501.399</v>
      </c>
      <c r="K40" s="207">
        <f t="shared" si="0"/>
        <v>1.9554638819725134E-2</v>
      </c>
      <c r="L40" s="275">
        <f>'CBS (Total)'!L38/'CBS ($ per kW)'!L$1</f>
        <v>477.84317114090902</v>
      </c>
      <c r="M40" s="207">
        <f t="shared" si="1"/>
        <v>5.1465438961292326E-2</v>
      </c>
      <c r="N40" s="275">
        <f>'CBS (Total)'!N38/'CBS ($ per kW)'!N$1</f>
        <v>462.03859347244179</v>
      </c>
      <c r="O40" s="207">
        <f t="shared" si="2"/>
        <v>6.8039696625251764E-2</v>
      </c>
      <c r="P40" s="276">
        <f>'CBS (Total)'!P38/'CBS ($ per kW)'!P$1</f>
        <v>455.39399999999995</v>
      </c>
      <c r="Q40" s="208">
        <f t="shared" si="3"/>
        <v>7.32087536803286E-2</v>
      </c>
    </row>
    <row r="41" spans="1:18" s="107" customFormat="1" ht="15" outlineLevel="1" x14ac:dyDescent="0.25">
      <c r="A41" s="149" t="s">
        <v>63</v>
      </c>
      <c r="D41" s="107" t="s">
        <v>64</v>
      </c>
      <c r="I41" s="277">
        <f>'1.5'!L12/1000</f>
        <v>0</v>
      </c>
      <c r="J41" s="275">
        <f>'CBS (Total)'!J39/'CBS ($ per kW)'!J$1</f>
        <v>100</v>
      </c>
      <c r="K41" s="207">
        <f t="shared" si="0"/>
        <v>3.9000155205186154E-3</v>
      </c>
      <c r="L41" s="275">
        <f>'CBS (Total)'!L39/'CBS ($ per kW)'!L$1</f>
        <v>84.548864586488804</v>
      </c>
      <c r="M41" s="207">
        <f t="shared" si="1"/>
        <v>9.1062187186501855E-3</v>
      </c>
      <c r="N41" s="275">
        <f>'CBS (Total)'!N39/'CBS ($ per kW)'!N$1</f>
        <v>75.189691740328144</v>
      </c>
      <c r="O41" s="207">
        <f t="shared" si="2"/>
        <v>1.1072416650110986E-2</v>
      </c>
      <c r="P41" s="276">
        <f>'CBS (Total)'!P39/'CBS ($ per kW)'!P$1</f>
        <v>71.485105028644185</v>
      </c>
      <c r="Q41" s="208">
        <f t="shared" si="3"/>
        <v>1.1491884930092256E-2</v>
      </c>
      <c r="R41" s="276"/>
    </row>
    <row r="42" spans="1:18" s="107" customFormat="1" ht="15" outlineLevel="1" x14ac:dyDescent="0.25">
      <c r="A42" s="149" t="s">
        <v>69</v>
      </c>
      <c r="D42" s="107" t="s">
        <v>66</v>
      </c>
      <c r="I42" s="277">
        <f>'1.5'!L13/1000</f>
        <v>73.278784580498865</v>
      </c>
      <c r="J42" s="275">
        <f>'CBS (Total)'!J40/'CBS ($ per kW)'!J$1</f>
        <v>593.07600000000002</v>
      </c>
      <c r="K42" s="207">
        <f t="shared" si="0"/>
        <v>2.3130056048470984E-2</v>
      </c>
      <c r="L42" s="275">
        <f>'CBS (Total)'!L40/'CBS ($ per kW)'!L$1</f>
        <v>515.68135115790278</v>
      </c>
      <c r="M42" s="207">
        <f t="shared" si="1"/>
        <v>5.5540747894600777E-2</v>
      </c>
      <c r="N42" s="275">
        <f>'CBS (Total)'!N40/'CBS ($ per kW)'!N$1</f>
        <v>467.66377395476684</v>
      </c>
      <c r="O42" s="207">
        <f t="shared" si="2"/>
        <v>6.8868059404653459E-2</v>
      </c>
      <c r="P42" s="276">
        <f>'CBS (Total)'!P40/'CBS ($ per kW)'!P$1</f>
        <v>448.38647311987029</v>
      </c>
      <c r="Q42" s="208">
        <f t="shared" si="3"/>
        <v>7.208222959508441E-2</v>
      </c>
    </row>
    <row r="43" spans="1:18" s="107" customFormat="1" ht="15" outlineLevel="1" x14ac:dyDescent="0.25">
      <c r="A43" s="149" t="s">
        <v>70</v>
      </c>
      <c r="D43" s="107" t="s">
        <v>67</v>
      </c>
      <c r="I43" s="277">
        <f>'1.5'!L14/1000</f>
        <v>0</v>
      </c>
      <c r="J43" s="275">
        <f>'CBS (Total)'!J41/'CBS ($ per kW)'!J$1</f>
        <v>491.42830207916126</v>
      </c>
      <c r="K43" s="207">
        <f t="shared" si="0"/>
        <v>1.9165780053308396E-2</v>
      </c>
      <c r="L43" s="275">
        <f>'CBS (Total)'!L41/'CBS ($ per kW)'!L$1</f>
        <v>341.81042044974294</v>
      </c>
      <c r="M43" s="207">
        <f t="shared" si="1"/>
        <v>3.6814219376596381E-2</v>
      </c>
      <c r="N43" s="275">
        <f>'CBS (Total)'!N41/'CBS ($ per kW)'!N$1</f>
        <v>273.08237295237558</v>
      </c>
      <c r="O43" s="207">
        <f t="shared" si="2"/>
        <v>4.0214047207058082E-2</v>
      </c>
      <c r="P43" s="276">
        <f>'CBS (Total)'!P41/'CBS ($ per kW)'!P$1</f>
        <v>249.70071660425052</v>
      </c>
      <c r="Q43" s="208">
        <f t="shared" si="3"/>
        <v>4.0141675682336869E-2</v>
      </c>
    </row>
    <row r="44" spans="1:18" s="107" customFormat="1" ht="15" outlineLevel="1" x14ac:dyDescent="0.25">
      <c r="A44" s="149" t="s">
        <v>71</v>
      </c>
      <c r="D44" s="107" t="s">
        <v>72</v>
      </c>
      <c r="I44" s="277">
        <f>'1.5'!L15/1000</f>
        <v>73.278911564625844</v>
      </c>
      <c r="J44" s="275">
        <f>'CBS (Total)'!J42/'CBS ($ per kW)'!J$1</f>
        <v>349.29300000000001</v>
      </c>
      <c r="K44" s="207">
        <f t="shared" si="0"/>
        <v>1.3622481212085088E-2</v>
      </c>
      <c r="L44" s="275">
        <f>'CBS (Total)'!L42/'CBS ($ per kW)'!L$1</f>
        <v>212.94692352095879</v>
      </c>
      <c r="M44" s="207">
        <f t="shared" si="1"/>
        <v>2.2935154369363418E-2</v>
      </c>
      <c r="N44" s="275">
        <f>'CBS (Total)'!N42/'CBS ($ per kW)'!N$1</f>
        <v>150.67797562662238</v>
      </c>
      <c r="O44" s="207">
        <f t="shared" si="2"/>
        <v>2.2188803910714767E-2</v>
      </c>
      <c r="P44" s="276">
        <f>'CBS (Total)'!P42/'CBS ($ per kW)'!P$1</f>
        <v>129.82336387228216</v>
      </c>
      <c r="Q44" s="208">
        <f t="shared" si="3"/>
        <v>2.0870294004043919E-2</v>
      </c>
    </row>
    <row r="45" spans="1:18" s="107" customFormat="1" ht="15" outlineLevel="1" x14ac:dyDescent="0.25">
      <c r="A45" s="149" t="s">
        <v>73</v>
      </c>
      <c r="D45" s="107" t="s">
        <v>402</v>
      </c>
      <c r="I45" s="277">
        <f>'1.5'!L16/1000</f>
        <v>111.14</v>
      </c>
      <c r="J45" s="275">
        <f>'CBS (Total)'!J43/'CBS ($ per kW)'!J$1</f>
        <v>245.01781844911548</v>
      </c>
      <c r="K45" s="207">
        <f t="shared" si="0"/>
        <v>9.5557329475516265E-3</v>
      </c>
      <c r="L45" s="275">
        <f>'CBS (Total)'!L43/'CBS ($ per kW)'!L$1</f>
        <v>206.6317659260103</v>
      </c>
      <c r="M45" s="207">
        <f t="shared" si="1"/>
        <v>2.2254989040312555E-2</v>
      </c>
      <c r="N45" s="275">
        <f>'CBS (Total)'!N43/'CBS ($ per kW)'!N$1</f>
        <v>183.43107048492226</v>
      </c>
      <c r="O45" s="207">
        <f t="shared" si="2"/>
        <v>2.7012017099354465E-2</v>
      </c>
      <c r="P45" s="276">
        <f>'CBS (Total)'!P43/'CBS ($ per kW)'!P$1</f>
        <v>174.25951696067617</v>
      </c>
      <c r="Q45" s="208">
        <f t="shared" si="3"/>
        <v>2.801381233311635E-2</v>
      </c>
    </row>
    <row r="46" spans="1:18" s="107" customFormat="1" ht="15" outlineLevel="1" x14ac:dyDescent="0.25">
      <c r="A46" s="149" t="s">
        <v>403</v>
      </c>
      <c r="D46" s="107" t="s">
        <v>18</v>
      </c>
      <c r="I46" s="278"/>
      <c r="J46" s="275">
        <f>'CBS (Total)'!J44/'CBS ($ per kW)'!J$1</f>
        <v>364.89302238905481</v>
      </c>
      <c r="K46" s="207">
        <f t="shared" si="0"/>
        <v>1.4230884506462604E-2</v>
      </c>
      <c r="L46" s="275">
        <f>'CBS (Total)'!L44/'CBS ($ per kW)'!L$1</f>
        <v>166.0707610330611</v>
      </c>
      <c r="M46" s="207">
        <f t="shared" si="1"/>
        <v>1.7886422013305307E-2</v>
      </c>
      <c r="N46" s="275">
        <f>'CBS (Total)'!N44/'CBS ($ per kW)'!N$1</f>
        <v>95.793189787110961</v>
      </c>
      <c r="O46" s="207">
        <f t="shared" si="2"/>
        <v>1.4106483016702684E-2</v>
      </c>
      <c r="P46" s="276">
        <f>'CBS (Total)'!P44/'CBS ($ per kW)'!P$1</f>
        <v>75.582419991288234</v>
      </c>
      <c r="Q46" s="208">
        <f t="shared" si="3"/>
        <v>1.2150565812692669E-2</v>
      </c>
    </row>
    <row r="47" spans="1:18" s="106" customFormat="1" ht="15" x14ac:dyDescent="0.25">
      <c r="A47" s="119">
        <v>1.6</v>
      </c>
      <c r="C47" s="106" t="s">
        <v>77</v>
      </c>
      <c r="I47" s="147"/>
      <c r="J47" s="274">
        <f>'CBS (Total)'!J45/'CBS ($ per kW)'!J$1</f>
        <v>761.9716235571359</v>
      </c>
      <c r="K47" s="203">
        <f t="shared" si="0"/>
        <v>2.9717011580675978E-2</v>
      </c>
      <c r="L47" s="274">
        <f>'CBS (Total)'!L45/'CBS ($ per kW)'!L$1</f>
        <v>522.44498482787253</v>
      </c>
      <c r="M47" s="203">
        <f t="shared" si="1"/>
        <v>5.6269215720074255E-2</v>
      </c>
      <c r="N47" s="274">
        <f>'CBS (Total)'!N45/'CBS ($ per kW)'!N$1</f>
        <v>425.12830761085587</v>
      </c>
      <c r="O47" s="203">
        <f t="shared" si="2"/>
        <v>6.2604296449046762E-2</v>
      </c>
      <c r="P47" s="273">
        <f>'CBS (Total)'!P45/'CBS ($ per kW)'!P$1</f>
        <v>393.6114988129454</v>
      </c>
      <c r="Q47" s="209">
        <f t="shared" si="3"/>
        <v>6.32766511248323E-2</v>
      </c>
    </row>
    <row r="48" spans="1:18" s="106" customFormat="1" ht="15" x14ac:dyDescent="0.25">
      <c r="A48" s="119">
        <v>1.7</v>
      </c>
      <c r="C48" s="106" t="s">
        <v>49</v>
      </c>
      <c r="I48" s="147"/>
      <c r="J48" s="274">
        <f>'CBS (Total)'!J46/'CBS ($ per kW)'!J$1</f>
        <v>3201.2638033564813</v>
      </c>
      <c r="K48" s="203">
        <f t="shared" si="0"/>
        <v>0.1248497851836473</v>
      </c>
      <c r="L48" s="274">
        <f>'CBS (Total)'!L46/'CBS ($ per kW)'!L$1</f>
        <v>825.63131846064869</v>
      </c>
      <c r="M48" s="203">
        <f t="shared" si="1"/>
        <v>8.8923481156619272E-2</v>
      </c>
      <c r="N48" s="274">
        <f>'CBS (Total)'!N46/'CBS ($ per kW)'!N$1</f>
        <v>479.08867605324082</v>
      </c>
      <c r="O48" s="203">
        <f t="shared" si="2"/>
        <v>7.0550487850535526E-2</v>
      </c>
      <c r="P48" s="273">
        <f>'CBS (Total)'!P46/'CBS ($ per kW)'!P$1</f>
        <v>466.12719059606479</v>
      </c>
      <c r="Q48" s="209">
        <f>P48/$P$58</f>
        <v>7.4934212308574319E-2</v>
      </c>
    </row>
    <row r="49" spans="1:19" s="107" customFormat="1" ht="15" outlineLevel="1" x14ac:dyDescent="0.25">
      <c r="A49" s="149" t="s">
        <v>78</v>
      </c>
      <c r="D49" s="107" t="s">
        <v>50</v>
      </c>
      <c r="I49" s="144"/>
      <c r="J49" s="275">
        <f>'CBS (Total)'!J47/'CBS ($ per kW)'!J$1</f>
        <v>18.362500000000001</v>
      </c>
      <c r="K49" s="207">
        <f t="shared" si="0"/>
        <v>7.1614034995523079E-4</v>
      </c>
      <c r="L49" s="275">
        <f>'CBS (Total)'!L47/'CBS ($ per kW)'!L$1</f>
        <v>17.737500000000001</v>
      </c>
      <c r="M49" s="207">
        <f t="shared" si="1"/>
        <v>1.910392946280551E-3</v>
      </c>
      <c r="N49" s="275">
        <f>'CBS (Total)'!N47/'CBS ($ per kW)'!N$1</f>
        <v>17.737500000000001</v>
      </c>
      <c r="O49" s="207">
        <f t="shared" si="2"/>
        <v>2.6120201557629967E-3</v>
      </c>
      <c r="P49" s="276">
        <f>'CBS (Total)'!P47/'CBS ($ per kW)'!P$1</f>
        <v>17.737500000000001</v>
      </c>
      <c r="Q49" s="208">
        <f t="shared" si="3"/>
        <v>2.8514654747423744E-3</v>
      </c>
    </row>
    <row r="50" spans="1:19" s="107" customFormat="1" ht="15" outlineLevel="1" x14ac:dyDescent="0.25">
      <c r="A50" s="149" t="s">
        <v>79</v>
      </c>
      <c r="D50" s="107" t="s">
        <v>51</v>
      </c>
      <c r="I50" s="144"/>
      <c r="J50" s="275">
        <f>'CBS (Total)'!J48/'CBS ($ per kW)'!J$1</f>
        <v>166.75</v>
      </c>
      <c r="K50" s="207">
        <f t="shared" si="0"/>
        <v>6.5032758804647916E-3</v>
      </c>
      <c r="L50" s="275">
        <f>'CBS (Total)'!L48/'CBS ($ per kW)'!L$1</f>
        <v>19.18</v>
      </c>
      <c r="M50" s="207">
        <f t="shared" si="1"/>
        <v>2.0657554170351498E-3</v>
      </c>
      <c r="N50" s="275">
        <f>'CBS (Total)'!N48/'CBS ($ per kW)'!N$1</f>
        <v>7.67</v>
      </c>
      <c r="O50" s="207">
        <f t="shared" si="2"/>
        <v>1.1294824295815184E-3</v>
      </c>
      <c r="P50" s="276">
        <f>'CBS (Total)'!P48/'CBS ($ per kW)'!P$1</f>
        <v>5.7539999999999996</v>
      </c>
      <c r="Q50" s="208">
        <f t="shared" si="3"/>
        <v>9.2500816584454519E-4</v>
      </c>
    </row>
    <row r="51" spans="1:19" s="107" customFormat="1" ht="15" outlineLevel="1" x14ac:dyDescent="0.25">
      <c r="A51" s="149" t="s">
        <v>80</v>
      </c>
      <c r="D51" s="107" t="s">
        <v>75</v>
      </c>
      <c r="I51" s="144"/>
      <c r="J51" s="275">
        <f>'CBS (Total)'!J49/'CBS ($ per kW)'!J$1</f>
        <v>701.34486354166677</v>
      </c>
      <c r="K51" s="207">
        <f t="shared" si="0"/>
        <v>2.735255853048511E-2</v>
      </c>
      <c r="L51" s="275">
        <f>'CBS (Total)'!L49/'CBS ($ per kW)'!L$1</f>
        <v>266.26483854166668</v>
      </c>
      <c r="M51" s="207">
        <f t="shared" si="1"/>
        <v>2.8677686787457635E-2</v>
      </c>
      <c r="N51" s="275">
        <f>'CBS (Total)'!N49/'CBS ($ per kW)'!N$1</f>
        <v>227.59105854166665</v>
      </c>
      <c r="O51" s="207">
        <f t="shared" si="2"/>
        <v>3.3515006747414762E-2</v>
      </c>
      <c r="P51" s="276">
        <f>'CBS (Total)'!P49/'CBS ($ per kW)'!P$1</f>
        <v>222.75683604166665</v>
      </c>
      <c r="Q51" s="208">
        <f t="shared" si="3"/>
        <v>3.5810200266985774E-2</v>
      </c>
    </row>
    <row r="52" spans="1:19" s="107" customFormat="1" ht="15" outlineLevel="1" x14ac:dyDescent="0.25">
      <c r="A52" s="149" t="s">
        <v>81</v>
      </c>
      <c r="D52" s="107" t="s">
        <v>12</v>
      </c>
      <c r="I52" s="144"/>
      <c r="J52" s="275">
        <f>'CBS (Total)'!J50/'CBS ($ per kW)'!J$1</f>
        <v>2197.8626898148145</v>
      </c>
      <c r="K52" s="207">
        <f t="shared" si="0"/>
        <v>8.5716986022465677E-2</v>
      </c>
      <c r="L52" s="275">
        <f>'CBS (Total)'!L50/'CBS ($ per kW)'!L$1</f>
        <v>405.50522991898202</v>
      </c>
      <c r="M52" s="207">
        <f t="shared" si="1"/>
        <v>4.3674380883275334E-2</v>
      </c>
      <c r="N52" s="275">
        <f>'CBS (Total)'!N50/'CBS ($ per kW)'!N$1</f>
        <v>109.14636751157418</v>
      </c>
      <c r="O52" s="207">
        <f t="shared" si="2"/>
        <v>1.6072868886176025E-2</v>
      </c>
      <c r="P52" s="276">
        <f>'CBS (Total)'!P50/'CBS ($ per kW)'!P$1</f>
        <v>102.93510455439809</v>
      </c>
      <c r="Q52" s="208">
        <f t="shared" si="3"/>
        <v>1.654776021287457E-2</v>
      </c>
    </row>
    <row r="53" spans="1:19" s="107" customFormat="1" ht="15" outlineLevel="1" x14ac:dyDescent="0.25">
      <c r="A53" s="149" t="s">
        <v>82</v>
      </c>
      <c r="D53" s="107" t="s">
        <v>52</v>
      </c>
      <c r="I53" s="144"/>
      <c r="J53" s="275">
        <f>'CBS (Total)'!J51/'CBS ($ per kW)'!J$1</f>
        <v>116.94374999999999</v>
      </c>
      <c r="K53" s="207">
        <f t="shared" si="0"/>
        <v>4.560824400276488E-3</v>
      </c>
      <c r="L53" s="275">
        <f>'CBS (Total)'!L51/'CBS ($ per kW)'!L$1</f>
        <v>116.94374999999999</v>
      </c>
      <c r="M53" s="207">
        <f t="shared" si="1"/>
        <v>1.2595265122570608E-2</v>
      </c>
      <c r="N53" s="275">
        <f>'CBS (Total)'!N51/'CBS ($ per kW)'!N$1</f>
        <v>116.94374999999999</v>
      </c>
      <c r="O53" s="207">
        <f t="shared" si="2"/>
        <v>1.7221109631600218E-2</v>
      </c>
      <c r="P53" s="276">
        <f>'CBS (Total)'!P51/'CBS ($ per kW)'!P$1</f>
        <v>116.94374999999999</v>
      </c>
      <c r="Q53" s="208">
        <f t="shared" si="3"/>
        <v>1.8799778188127048E-2</v>
      </c>
    </row>
    <row r="54" spans="1:19" s="107" customFormat="1" ht="15" outlineLevel="1" x14ac:dyDescent="0.25">
      <c r="A54" s="149" t="s">
        <v>83</v>
      </c>
      <c r="D54" s="107" t="s">
        <v>53</v>
      </c>
      <c r="I54" s="144"/>
      <c r="J54" s="275">
        <f>'CBS (Total)'!J52/'CBS ($ per kW)'!J$1</f>
        <v>0</v>
      </c>
      <c r="K54" s="207">
        <f t="shared" si="0"/>
        <v>0</v>
      </c>
      <c r="L54" s="275">
        <f>'CBS (Total)'!L52/'CBS ($ per kW)'!L$1</f>
        <v>0</v>
      </c>
      <c r="M54" s="207">
        <f t="shared" si="1"/>
        <v>0</v>
      </c>
      <c r="N54" s="275">
        <f>'CBS (Total)'!N52/'CBS ($ per kW)'!N$1</f>
        <v>0</v>
      </c>
      <c r="O54" s="207">
        <f t="shared" si="2"/>
        <v>0</v>
      </c>
      <c r="P54" s="276">
        <f>'CBS (Total)'!P52/'CBS ($ per kW)'!P$1</f>
        <v>0</v>
      </c>
      <c r="Q54" s="208">
        <f t="shared" si="3"/>
        <v>0</v>
      </c>
    </row>
    <row r="55" spans="1:19" s="147" customFormat="1" ht="15" x14ac:dyDescent="0.25">
      <c r="A55" s="211">
        <v>1.8</v>
      </c>
      <c r="C55" s="147" t="s">
        <v>493</v>
      </c>
      <c r="J55" s="274">
        <f>'CBS (Total)'!J53/'CBS ($ per kW)'!J$1</f>
        <v>0</v>
      </c>
      <c r="K55" s="203">
        <f t="shared" si="0"/>
        <v>0</v>
      </c>
      <c r="L55" s="274">
        <f>'CBS (Total)'!L53/'CBS ($ per kW)'!L$1</f>
        <v>0</v>
      </c>
      <c r="M55" s="203">
        <f t="shared" si="1"/>
        <v>0</v>
      </c>
      <c r="N55" s="274">
        <f>'CBS (Total)'!N53/'CBS ($ per kW)'!N$1</f>
        <v>0</v>
      </c>
      <c r="O55" s="203">
        <f t="shared" si="2"/>
        <v>0</v>
      </c>
      <c r="P55" s="273">
        <f>'CBS (Total)'!P53/'CBS ($ per kW)'!P$1</f>
        <v>0</v>
      </c>
      <c r="Q55" s="209">
        <f t="shared" si="3"/>
        <v>0</v>
      </c>
    </row>
    <row r="56" spans="1:19" s="147" customFormat="1" ht="15" x14ac:dyDescent="0.25">
      <c r="A56" s="211" t="s">
        <v>564</v>
      </c>
      <c r="C56" s="147" t="s">
        <v>470</v>
      </c>
      <c r="J56" s="274">
        <f>'CBS (Total)'!J54/'CBS ($ per kW)'!J$1</f>
        <v>2085.917269555584</v>
      </c>
      <c r="K56" s="203">
        <f>J56/$J$58</f>
        <v>8.1351097257845895E-2</v>
      </c>
      <c r="L56" s="274">
        <f>'CBS (Total)'!L54/'CBS ($ per kW)'!L$1</f>
        <v>793.44925271381135</v>
      </c>
      <c r="M56" s="203">
        <f>L56/$L$58</f>
        <v>8.5457356201045206E-2</v>
      </c>
      <c r="N56" s="274">
        <f>'CBS (Total)'!N54/'CBS ($ per kW)'!N$1</f>
        <v>597.93044218435205</v>
      </c>
      <c r="O56" s="203">
        <f>N56/$N$58</f>
        <v>8.8051098899495903E-2</v>
      </c>
      <c r="P56" s="273">
        <f>'CBS (Total)'!P54/'CBS ($ per kW)'!P$1</f>
        <v>554.37257896093297</v>
      </c>
      <c r="Q56" s="209">
        <f>P56/$P$58</f>
        <v>8.9120466190330719E-2</v>
      </c>
    </row>
    <row r="57" spans="1:19" ht="15" outlineLevel="1" x14ac:dyDescent="0.25">
      <c r="I57" s="108"/>
      <c r="J57" s="274"/>
      <c r="K57" s="203"/>
      <c r="L57" s="274"/>
      <c r="M57" s="203"/>
      <c r="N57" s="274"/>
      <c r="O57" s="203"/>
      <c r="P57" s="273"/>
      <c r="Q57" s="209"/>
    </row>
    <row r="58" spans="1:19" ht="15" outlineLevel="1" x14ac:dyDescent="0.25">
      <c r="A58" s="279" t="s">
        <v>563</v>
      </c>
      <c r="B58" s="280"/>
      <c r="C58" s="280"/>
      <c r="D58" s="280"/>
      <c r="E58" s="280"/>
      <c r="F58" s="280"/>
      <c r="G58" s="280"/>
      <c r="H58" s="280"/>
      <c r="I58" s="284">
        <f>I32+I26</f>
        <v>2362.8565408163263</v>
      </c>
      <c r="J58" s="281">
        <f>'CBS (Total)'!J56/'CBS ($ per kW)'!J$1</f>
        <v>25640.923599889218</v>
      </c>
      <c r="K58" s="286">
        <f t="shared" ref="K58" si="4">J58/$J$58</f>
        <v>1</v>
      </c>
      <c r="L58" s="281">
        <f>'CBS (Total)'!L56/'CBS ($ per kW)'!L$1</f>
        <v>9284.7390556660685</v>
      </c>
      <c r="M58" s="286">
        <f t="shared" ref="M58" si="5">L58/$L$58</f>
        <v>1</v>
      </c>
      <c r="N58" s="281">
        <f>'CBS (Total)'!N56/'CBS ($ per kW)'!N$1</f>
        <v>6790.7209524647424</v>
      </c>
      <c r="O58" s="286">
        <f t="shared" ref="O58" si="6">N58/$N$58</f>
        <v>1</v>
      </c>
      <c r="P58" s="283">
        <f>'CBS (Total)'!P56/'CBS ($ per kW)'!P$1</f>
        <v>6220.4856264663549</v>
      </c>
      <c r="Q58" s="287">
        <f t="shared" ref="Q58" si="7">P58/$P$58</f>
        <v>1</v>
      </c>
    </row>
    <row r="59" spans="1:19" ht="15" outlineLevel="1" x14ac:dyDescent="0.25">
      <c r="I59" s="108"/>
      <c r="J59" s="274"/>
      <c r="K59" s="200"/>
      <c r="L59" s="274"/>
      <c r="M59" s="200"/>
      <c r="N59" s="274"/>
      <c r="O59" s="200"/>
      <c r="P59" s="273"/>
      <c r="Q59" s="108"/>
    </row>
    <row r="60" spans="1:19" s="106" customFormat="1" ht="15" x14ac:dyDescent="0.25">
      <c r="A60" s="119">
        <v>2</v>
      </c>
      <c r="B60" s="106" t="s">
        <v>60</v>
      </c>
      <c r="I60" s="147"/>
      <c r="J60" s="274">
        <f>'CBS (Total)'!J58/'CBS ($ per kW)'!J$1</f>
        <v>1080.8452965764823</v>
      </c>
      <c r="K60" s="209">
        <f>J60/$J$58</f>
        <v>4.2153134319278265E-2</v>
      </c>
      <c r="L60" s="274">
        <f>'CBS (Total)'!L58/'CBS ($ per kW)'!L$1</f>
        <v>365.02233658734343</v>
      </c>
      <c r="M60" s="209">
        <f>L60/$L$58</f>
        <v>3.9314226754125776E-2</v>
      </c>
      <c r="N60" s="274">
        <f>'CBS (Total)'!N58/'CBS ($ per kW)'!N$1</f>
        <v>211.00070243906518</v>
      </c>
      <c r="O60" s="209">
        <f>N60/$N$58</f>
        <v>3.1071914737194572E-2</v>
      </c>
      <c r="P60" s="273">
        <f>'CBS (Total)'!P58/'CBS ($ per kW)'!P$1</f>
        <v>170.35170814989715</v>
      </c>
      <c r="Q60" s="209">
        <f>P60/$P$58</f>
        <v>2.7385596298961007E-2</v>
      </c>
    </row>
    <row r="61" spans="1:19" ht="15" outlineLevel="1" x14ac:dyDescent="0.25">
      <c r="A61" s="84">
        <v>2.1</v>
      </c>
      <c r="C61" s="118" t="s">
        <v>54</v>
      </c>
      <c r="I61" s="108"/>
      <c r="J61" s="274">
        <f>'CBS (Total)'!J59/'CBS ($ per kW)'!J$1</f>
        <v>417.18345391111689</v>
      </c>
      <c r="K61" s="208">
        <f t="shared" ref="K61:K66" si="8">J61/$J$58</f>
        <v>1.6270219451569184E-2</v>
      </c>
      <c r="L61" s="274">
        <f>'CBS (Total)'!L59/'CBS ($ per kW)'!L$1</f>
        <v>158.68985054276226</v>
      </c>
      <c r="M61" s="208">
        <f t="shared" ref="M61:M66" si="9">L61/$L$58</f>
        <v>1.7091471240209041E-2</v>
      </c>
      <c r="N61" s="274">
        <f>'CBS (Total)'!N59/'CBS ($ per kW)'!N$1</f>
        <v>59.793044218435206</v>
      </c>
      <c r="O61" s="208">
        <f t="shared" ref="O61:O66" si="10">N61/$N$58</f>
        <v>8.8051098899495899E-3</v>
      </c>
      <c r="P61" s="273">
        <f>'CBS (Total)'!P59/'CBS ($ per kW)'!P$1</f>
        <v>27.71862894804665</v>
      </c>
      <c r="Q61" s="204">
        <f t="shared" ref="Q61:Q66" si="11">P61/$P$58</f>
        <v>4.4560233095165365E-3</v>
      </c>
    </row>
    <row r="62" spans="1:19" ht="15" outlineLevel="1" x14ac:dyDescent="0.25">
      <c r="A62" s="84">
        <v>2.2000000000000002</v>
      </c>
      <c r="C62" s="118" t="s">
        <v>55</v>
      </c>
      <c r="I62" s="108"/>
      <c r="J62" s="274">
        <f>'CBS (Total)'!J60/'CBS ($ per kW)'!J$1</f>
        <v>369.6875</v>
      </c>
      <c r="K62" s="208">
        <f t="shared" si="8"/>
        <v>1.4417869877417257E-2</v>
      </c>
      <c r="L62" s="274">
        <f>'CBS (Total)'!L60/'CBS ($ per kW)'!L$1</f>
        <v>49.322499999999998</v>
      </c>
      <c r="M62" s="208">
        <f t="shared" si="9"/>
        <v>5.3122117599956288E-3</v>
      </c>
      <c r="N62" s="274">
        <f>'CBS (Total)'!N60/'CBS ($ per kW)'!N$1</f>
        <v>10.18075</v>
      </c>
      <c r="O62" s="208">
        <f t="shared" si="10"/>
        <v>1.4992148950406835E-3</v>
      </c>
      <c r="P62" s="273">
        <f>'CBS (Total)'!P60/'CBS ($ per kW)'!P$1</f>
        <v>5.0903749999999999</v>
      </c>
      <c r="Q62" s="204">
        <f t="shared" si="11"/>
        <v>8.1832437299459977E-4</v>
      </c>
      <c r="R62" s="4"/>
      <c r="S62" s="4"/>
    </row>
    <row r="63" spans="1:19" ht="15" outlineLevel="1" x14ac:dyDescent="0.25">
      <c r="A63" s="84">
        <v>2.2999999999999998</v>
      </c>
      <c r="C63" s="118" t="s">
        <v>56</v>
      </c>
      <c r="I63" s="108"/>
      <c r="J63" s="274">
        <f>'CBS (Total)'!J61/'CBS ($ per kW)'!J$1</f>
        <v>28.748850000000004</v>
      </c>
      <c r="K63" s="208">
        <f t="shared" si="8"/>
        <v>1.1212096119706161E-3</v>
      </c>
      <c r="L63" s="274">
        <f>'CBS (Total)'!L61/'CBS ($ per kW)'!L$1</f>
        <v>28.748850000000004</v>
      </c>
      <c r="M63" s="208">
        <f t="shared" si="9"/>
        <v>3.0963551940057857E-3</v>
      </c>
      <c r="N63" s="274">
        <f>'CBS (Total)'!N61/'CBS ($ per kW)'!N$1</f>
        <v>28.748850000000004</v>
      </c>
      <c r="O63" s="208">
        <f t="shared" si="10"/>
        <v>4.2335490150814392E-3</v>
      </c>
      <c r="P63" s="273">
        <f>'CBS (Total)'!P61/'CBS ($ per kW)'!P$1</f>
        <v>28.748850000000004</v>
      </c>
      <c r="Q63" s="204">
        <f t="shared" si="11"/>
        <v>4.6216407731386787E-3</v>
      </c>
      <c r="R63" s="112"/>
      <c r="S63" s="112"/>
    </row>
    <row r="64" spans="1:19" outlineLevel="1" x14ac:dyDescent="0.3">
      <c r="A64" s="84">
        <v>2.4</v>
      </c>
      <c r="C64" s="118" t="s">
        <v>57</v>
      </c>
      <c r="I64" s="108"/>
      <c r="J64" s="274">
        <f>'CBS (Total)'!J62/'CBS ($ per kW)'!J$1</f>
        <v>78.032160000000005</v>
      </c>
      <c r="K64" s="208">
        <f t="shared" si="8"/>
        <v>3.0432663509959192E-3</v>
      </c>
      <c r="L64" s="274">
        <f>'CBS (Total)'!L62/'CBS ($ per kW)'!L$1</f>
        <v>9.329539500000001</v>
      </c>
      <c r="M64" s="208">
        <f t="shared" si="9"/>
        <v>1.0048251699983526E-3</v>
      </c>
      <c r="N64" s="274">
        <f>'CBS (Total)'!N62/'CBS ($ per kW)'!N$1</f>
        <v>5.0176003499999995</v>
      </c>
      <c r="O64" s="208">
        <f t="shared" si="10"/>
        <v>7.3889066935946236E-4</v>
      </c>
      <c r="P64" s="273">
        <f>'CBS (Total)'!P62/'CBS ($ per kW)'!P$1</f>
        <v>4.4343159749999996</v>
      </c>
      <c r="Q64" s="204">
        <f t="shared" si="11"/>
        <v>7.1285687987659302E-4</v>
      </c>
    </row>
    <row r="65" spans="1:17" outlineLevel="1" x14ac:dyDescent="0.3">
      <c r="A65" s="2">
        <v>2.5</v>
      </c>
      <c r="C65" s="118" t="s">
        <v>58</v>
      </c>
      <c r="I65" s="108"/>
      <c r="J65" s="274">
        <f>'CBS (Total)'!J63/'CBS ($ per kW)'!J$1</f>
        <v>182.81993099869877</v>
      </c>
      <c r="K65" s="208">
        <f t="shared" si="8"/>
        <v>7.1300056835506753E-3</v>
      </c>
      <c r="L65" s="274">
        <f>'CBS (Total)'!L63/'CBS ($ per kW)'!L$1</f>
        <v>114.55819487791453</v>
      </c>
      <c r="M65" s="208">
        <f>L65/$L$58</f>
        <v>1.2338332202023997E-2</v>
      </c>
      <c r="N65" s="274">
        <f>'CBS (Total)'!N63/'CBS ($ per kW)'!N$1</f>
        <v>102.8870562039633</v>
      </c>
      <c r="O65" s="208">
        <f t="shared" si="10"/>
        <v>1.5151124147815215E-2</v>
      </c>
      <c r="P65" s="273">
        <f>'CBS (Total)'!P63/'CBS ($ per kW)'!P$1</f>
        <v>99.986136560183823</v>
      </c>
      <c r="Q65" s="204">
        <f t="shared" si="11"/>
        <v>1.6073686616165775E-2</v>
      </c>
    </row>
    <row r="66" spans="1:17" outlineLevel="1" x14ac:dyDescent="0.3">
      <c r="A66" s="84">
        <v>2.6</v>
      </c>
      <c r="C66" s="118" t="s">
        <v>59</v>
      </c>
      <c r="I66" s="108"/>
      <c r="J66" s="274">
        <f>'CBS (Total)'!J64/'CBS ($ per kW)'!J$1</f>
        <v>4.3734016666666671</v>
      </c>
      <c r="K66" s="208">
        <f t="shared" si="8"/>
        <v>1.7056334377461981E-4</v>
      </c>
      <c r="L66" s="274">
        <f>'CBS (Total)'!L64/'CBS ($ per kW)'!L$1</f>
        <v>4.3734016666666662</v>
      </c>
      <c r="M66" s="208">
        <f t="shared" si="9"/>
        <v>4.7103118789297273E-4</v>
      </c>
      <c r="N66" s="274">
        <f>'CBS (Total)'!N64/'CBS ($ per kW)'!N$1</f>
        <v>4.3734016666666671</v>
      </c>
      <c r="O66" s="208">
        <f t="shared" si="10"/>
        <v>6.4402611994817847E-4</v>
      </c>
      <c r="P66" s="273">
        <f>'CBS (Total)'!P64/'CBS ($ per kW)'!P$1</f>
        <v>4.3734016666666671</v>
      </c>
      <c r="Q66" s="204">
        <f t="shared" si="11"/>
        <v>7.030643472688236E-4</v>
      </c>
    </row>
    <row r="67" spans="1:17" x14ac:dyDescent="0.3">
      <c r="I67" s="108"/>
      <c r="J67" s="274"/>
      <c r="K67" s="144"/>
      <c r="L67" s="274"/>
      <c r="M67" s="144"/>
      <c r="N67" s="274"/>
      <c r="O67" s="144"/>
      <c r="P67" s="273"/>
      <c r="Q67" s="108"/>
    </row>
    <row r="68" spans="1:17" s="106" customFormat="1" x14ac:dyDescent="0.3">
      <c r="A68" s="279" t="s">
        <v>657</v>
      </c>
      <c r="B68" s="280"/>
      <c r="C68" s="280"/>
      <c r="D68" s="280"/>
      <c r="E68" s="280"/>
      <c r="F68" s="280"/>
      <c r="G68" s="280"/>
      <c r="H68" s="280"/>
      <c r="I68" s="280"/>
      <c r="J68" s="281">
        <f>'CBS (Total)'!J66/'CBS ($ per kW)'!J$1</f>
        <v>1080.8452965764823</v>
      </c>
      <c r="K68" s="282">
        <f t="shared" ref="K68:Q68" si="12">SUM(K61:K66)</f>
        <v>4.2153134319278272E-2</v>
      </c>
      <c r="L68" s="281">
        <f>'CBS (Total)'!L66/'CBS ($ per kW)'!L$1</f>
        <v>365.02233658734343</v>
      </c>
      <c r="M68" s="282">
        <f t="shared" si="12"/>
        <v>3.9314226754125783E-2</v>
      </c>
      <c r="N68" s="281">
        <f>'CBS (Total)'!N66/'CBS ($ per kW)'!N$1</f>
        <v>211.00070243906518</v>
      </c>
      <c r="O68" s="282">
        <f t="shared" si="12"/>
        <v>3.1071914737194572E-2</v>
      </c>
      <c r="P68" s="283">
        <f>'CBS (Total)'!P66/'CBS ($ per kW)'!P$1</f>
        <v>170.35170814989715</v>
      </c>
      <c r="Q68" s="282">
        <f t="shared" si="12"/>
        <v>2.7385596298961007E-2</v>
      </c>
    </row>
    <row r="69" spans="1:17" x14ac:dyDescent="0.3">
      <c r="J69" s="4"/>
      <c r="K69" s="200"/>
      <c r="L69" s="4"/>
      <c r="M69" s="200"/>
      <c r="N69" s="4"/>
      <c r="O69" s="200"/>
      <c r="P69" s="4"/>
    </row>
    <row r="70" spans="1:17" x14ac:dyDescent="0.3">
      <c r="J70" s="108"/>
      <c r="K70" s="144"/>
      <c r="L70" s="108"/>
      <c r="M70" s="144"/>
      <c r="N70" s="108"/>
      <c r="O70" s="144"/>
      <c r="P70" s="108"/>
    </row>
  </sheetData>
  <mergeCells count="1">
    <mergeCell ref="J3:P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68"/>
  <sheetViews>
    <sheetView zoomScale="70" zoomScaleNormal="70" workbookViewId="0">
      <pane xSplit="8" ySplit="2" topLeftCell="I3" activePane="bottomRight" state="frozen"/>
      <selection pane="topRight" activeCell="I1" sqref="I1"/>
      <selection pane="bottomLeft" activeCell="A3" sqref="A3"/>
      <selection pane="bottomRight" activeCell="J24" sqref="J24"/>
    </sheetView>
  </sheetViews>
  <sheetFormatPr defaultRowHeight="14.4" outlineLevelRow="2" x14ac:dyDescent="0.3"/>
  <cols>
    <col min="1" max="1" width="8.44140625" style="1" customWidth="1"/>
    <col min="2" max="2" width="3.88671875" customWidth="1"/>
    <col min="3" max="4" width="4.109375" customWidth="1"/>
    <col min="8" max="8" width="20.33203125" customWidth="1"/>
    <col min="9" max="9" width="20.33203125" style="17" customWidth="1"/>
    <col min="10" max="10" width="19.5546875" bestFit="1" customWidth="1"/>
    <col min="11" max="11" width="10.109375" style="107" customWidth="1"/>
    <col min="12" max="12" width="20.44140625" bestFit="1" customWidth="1"/>
    <col min="13" max="13" width="10.109375" style="107" customWidth="1"/>
    <col min="14" max="14" width="22.6640625" bestFit="1" customWidth="1"/>
    <col min="15" max="15" width="11.5546875" style="107" customWidth="1"/>
    <col min="16" max="16" width="22.6640625" customWidth="1"/>
    <col min="17" max="17" width="11" customWidth="1"/>
    <col min="18" max="18" width="17.109375" bestFit="1" customWidth="1"/>
    <col min="19" max="19" width="16.88671875" bestFit="1" customWidth="1"/>
    <col min="20" max="22" width="13.33203125" bestFit="1" customWidth="1"/>
    <col min="23" max="23" width="15" bestFit="1" customWidth="1"/>
    <col min="24" max="24" width="11.109375" bestFit="1" customWidth="1"/>
  </cols>
  <sheetData>
    <row r="1" spans="1:19" ht="15" x14ac:dyDescent="0.25">
      <c r="A1" s="3" t="s">
        <v>293</v>
      </c>
      <c r="I1" s="106"/>
      <c r="J1" s="546" t="s">
        <v>68</v>
      </c>
      <c r="K1" s="546"/>
      <c r="L1" s="546"/>
      <c r="M1" s="546"/>
      <c r="N1" s="546"/>
      <c r="O1" s="546"/>
      <c r="P1" s="546"/>
      <c r="Q1" s="106"/>
    </row>
    <row r="2" spans="1:19" ht="15" x14ac:dyDescent="0.25">
      <c r="I2" s="106" t="s">
        <v>255</v>
      </c>
      <c r="J2" s="106">
        <v>1</v>
      </c>
      <c r="K2" s="214" t="s">
        <v>494</v>
      </c>
      <c r="L2" s="106">
        <v>10</v>
      </c>
      <c r="M2" s="214" t="s">
        <v>494</v>
      </c>
      <c r="N2" s="106">
        <v>50</v>
      </c>
      <c r="O2" s="214" t="s">
        <v>495</v>
      </c>
      <c r="P2" s="106">
        <v>100</v>
      </c>
      <c r="Q2" s="214" t="s">
        <v>495</v>
      </c>
      <c r="R2" s="106"/>
      <c r="S2" s="119"/>
    </row>
    <row r="3" spans="1:19" s="106" customFormat="1" ht="15" x14ac:dyDescent="0.25">
      <c r="A3" s="119">
        <v>1</v>
      </c>
      <c r="B3" s="106" t="s">
        <v>0</v>
      </c>
      <c r="J3" s="205"/>
      <c r="K3" s="205"/>
      <c r="L3" s="205"/>
      <c r="M3" s="205"/>
      <c r="N3" s="205"/>
      <c r="O3" s="205"/>
      <c r="P3" s="205"/>
    </row>
    <row r="4" spans="1:19" s="106" customFormat="1" ht="15" x14ac:dyDescent="0.25">
      <c r="A4" s="119">
        <v>1.1000000000000001</v>
      </c>
      <c r="C4" s="106" t="s">
        <v>240</v>
      </c>
      <c r="J4" s="205">
        <f>J5+J10+J11</f>
        <v>10783334.539111167</v>
      </c>
      <c r="K4" s="203">
        <f t="shared" ref="K4:K53" si="0">J4/$J$56</f>
        <v>0.10513793016369501</v>
      </c>
      <c r="L4" s="205">
        <f t="shared" ref="L4:P4" si="1">L5+L10+L11</f>
        <v>22271891.032565735</v>
      </c>
      <c r="M4" s="203">
        <f t="shared" ref="M4:M53" si="2">L4/$L$56</f>
        <v>5.9969081788502659E-2</v>
      </c>
      <c r="N4" s="205">
        <f t="shared" si="1"/>
        <v>42697217.687374085</v>
      </c>
      <c r="O4" s="203">
        <f t="shared" ref="O4:O53" si="3">N4/$N$56</f>
        <v>3.1437912105545147E-2</v>
      </c>
      <c r="P4" s="205">
        <f t="shared" si="1"/>
        <v>48954903.158437319</v>
      </c>
      <c r="Q4" s="209">
        <f t="shared" ref="Q4:Q53" si="4">P4/$P$56</f>
        <v>1.9674871906362287E-2</v>
      </c>
      <c r="R4" s="238"/>
      <c r="S4" s="238"/>
    </row>
    <row r="5" spans="1:19" ht="15" outlineLevel="1" x14ac:dyDescent="0.25">
      <c r="A5" s="1" t="s">
        <v>2</v>
      </c>
      <c r="D5" t="s">
        <v>1</v>
      </c>
      <c r="I5" s="147"/>
      <c r="J5" s="200">
        <f>SUM(J6:J9)</f>
        <v>4611500</v>
      </c>
      <c r="K5" s="207">
        <f t="shared" si="0"/>
        <v>4.4962303932178989E-2</v>
      </c>
      <c r="L5" s="200">
        <f t="shared" ref="L5:P5" si="5">SUM(L6:L9)</f>
        <v>8750500</v>
      </c>
      <c r="M5" s="207">
        <f t="shared" si="2"/>
        <v>2.3561513004126795E-2</v>
      </c>
      <c r="N5" s="200">
        <f>SUM(N6:N9)</f>
        <v>10780000</v>
      </c>
      <c r="O5" s="207">
        <f t="shared" si="3"/>
        <v>7.9373015585976325E-3</v>
      </c>
      <c r="P5" s="200">
        <f t="shared" si="5"/>
        <v>10780000</v>
      </c>
      <c r="Q5" s="208">
        <f t="shared" si="4"/>
        <v>4.3324591709263975E-3</v>
      </c>
      <c r="R5" s="111"/>
    </row>
    <row r="6" spans="1:19" ht="15" outlineLevel="2" x14ac:dyDescent="0.25">
      <c r="A6" s="1" t="s">
        <v>241</v>
      </c>
      <c r="E6" t="s">
        <v>3</v>
      </c>
      <c r="I6" s="108"/>
      <c r="J6" s="363">
        <f>'1.1'!E5</f>
        <v>252500</v>
      </c>
      <c r="K6" s="207">
        <f t="shared" si="0"/>
        <v>2.4618847973273761E-3</v>
      </c>
      <c r="L6" s="363">
        <f>'1.1'!F5</f>
        <v>370000</v>
      </c>
      <c r="M6" s="207">
        <f t="shared" si="2"/>
        <v>9.96258477975763E-4</v>
      </c>
      <c r="N6" s="363">
        <f>'1.1'!G5</f>
        <v>390000</v>
      </c>
      <c r="O6" s="207">
        <f t="shared" si="3"/>
        <v>2.8715654989360634E-4</v>
      </c>
      <c r="P6" s="363">
        <f>'1.1'!H5</f>
        <v>390000</v>
      </c>
      <c r="Q6" s="204">
        <f t="shared" si="4"/>
        <v>1.5674017408731866E-4</v>
      </c>
    </row>
    <row r="7" spans="1:19" ht="15" outlineLevel="2" x14ac:dyDescent="0.25">
      <c r="A7" s="1" t="s">
        <v>242</v>
      </c>
      <c r="E7" t="s">
        <v>5</v>
      </c>
      <c r="I7" s="108"/>
      <c r="J7" s="363">
        <f>'1.1'!E6</f>
        <v>1780250</v>
      </c>
      <c r="K7" s="207">
        <f t="shared" si="0"/>
        <v>1.7357506576008163E-2</v>
      </c>
      <c r="L7" s="363">
        <f>'1.1'!F6</f>
        <v>3585250</v>
      </c>
      <c r="M7" s="207">
        <f t="shared" si="2"/>
        <v>9.6536100220610925E-3</v>
      </c>
      <c r="N7" s="363">
        <f>'1.1'!G6</f>
        <v>4912250</v>
      </c>
      <c r="O7" s="207">
        <f t="shared" si="3"/>
        <v>3.6168840056791485E-3</v>
      </c>
      <c r="P7" s="363">
        <f>'1.1'!H6</f>
        <v>4912250</v>
      </c>
      <c r="Q7" s="204">
        <f t="shared" si="4"/>
        <v>1.9742228722062338E-3</v>
      </c>
      <c r="R7" s="111"/>
    </row>
    <row r="8" spans="1:19" ht="15" outlineLevel="2" x14ac:dyDescent="0.25">
      <c r="A8" s="1" t="s">
        <v>243</v>
      </c>
      <c r="E8" t="s">
        <v>7</v>
      </c>
      <c r="I8" s="108"/>
      <c r="J8" s="363">
        <f>'1.1'!E7</f>
        <v>1478750</v>
      </c>
      <c r="K8" s="207">
        <f t="shared" si="0"/>
        <v>1.4417869877417257E-2</v>
      </c>
      <c r="L8" s="363">
        <f>'1.1'!F7</f>
        <v>3095250</v>
      </c>
      <c r="M8" s="207">
        <f t="shared" si="2"/>
        <v>8.3342406863634606E-3</v>
      </c>
      <c r="N8" s="363">
        <f>'1.1'!G7</f>
        <v>3552750</v>
      </c>
      <c r="O8" s="207">
        <f t="shared" si="3"/>
        <v>2.6158857247038717E-3</v>
      </c>
      <c r="P8" s="363">
        <f>'1.1'!H7</f>
        <v>3552750</v>
      </c>
      <c r="Q8" s="204">
        <f t="shared" si="4"/>
        <v>1.4278427012531316E-3</v>
      </c>
    </row>
    <row r="9" spans="1:19" ht="15" outlineLevel="2" x14ac:dyDescent="0.25">
      <c r="A9" s="1" t="s">
        <v>244</v>
      </c>
      <c r="E9" t="s">
        <v>8</v>
      </c>
      <c r="I9" s="108"/>
      <c r="J9" s="363">
        <f>'1.1'!E8</f>
        <v>1100000</v>
      </c>
      <c r="K9" s="207">
        <f t="shared" si="0"/>
        <v>1.0725042681426192E-2</v>
      </c>
      <c r="L9" s="363">
        <f>'1.1'!F8</f>
        <v>1700000</v>
      </c>
      <c r="M9" s="207">
        <f t="shared" si="2"/>
        <v>4.5774038177264784E-3</v>
      </c>
      <c r="N9" s="363">
        <f>'1.1'!G8</f>
        <v>1925000</v>
      </c>
      <c r="O9" s="207">
        <f t="shared" si="3"/>
        <v>1.4173752783210058E-3</v>
      </c>
      <c r="P9" s="363">
        <f>'1.1'!H8</f>
        <v>1925000</v>
      </c>
      <c r="Q9" s="204">
        <f t="shared" si="4"/>
        <v>7.736534233797139E-4</v>
      </c>
    </row>
    <row r="10" spans="1:19" s="17" customFormat="1" ht="15" outlineLevel="1" x14ac:dyDescent="0.25">
      <c r="A10" s="1" t="s">
        <v>4</v>
      </c>
      <c r="D10" s="17" t="s">
        <v>245</v>
      </c>
      <c r="I10" s="108"/>
      <c r="J10" s="4">
        <f>'1.1'!E9</f>
        <v>2000000</v>
      </c>
      <c r="K10" s="207">
        <f t="shared" si="0"/>
        <v>1.9500077602593077E-2</v>
      </c>
      <c r="L10" s="4">
        <f>'1.1'!F9</f>
        <v>4000000</v>
      </c>
      <c r="M10" s="207">
        <f t="shared" si="2"/>
        <v>1.0770361924062303E-2</v>
      </c>
      <c r="N10" s="4">
        <f>'1.1'!G9</f>
        <v>8000000</v>
      </c>
      <c r="O10" s="207">
        <f t="shared" si="3"/>
        <v>5.890390767048336E-3</v>
      </c>
      <c r="P10" s="4">
        <f>'1.1'!H9</f>
        <v>16000000</v>
      </c>
      <c r="Q10" s="204">
        <f t="shared" si="4"/>
        <v>6.4303661164028169E-3</v>
      </c>
    </row>
    <row r="11" spans="1:19" s="17" customFormat="1" ht="15" outlineLevel="1" x14ac:dyDescent="0.25">
      <c r="A11" s="1" t="s">
        <v>6</v>
      </c>
      <c r="D11" s="17" t="s">
        <v>562</v>
      </c>
      <c r="I11" s="108"/>
      <c r="J11" s="4">
        <f>'1.1'!E10</f>
        <v>4171834.5391111681</v>
      </c>
      <c r="K11" s="207">
        <f t="shared" si="0"/>
        <v>4.0675548628922947E-2</v>
      </c>
      <c r="L11" s="4">
        <f>'1.1'!F10</f>
        <v>9521391.0325657371</v>
      </c>
      <c r="M11" s="207">
        <f t="shared" si="2"/>
        <v>2.5637206860313566E-2</v>
      </c>
      <c r="N11" s="4">
        <f>'1.1'!G10</f>
        <v>23917217.687374081</v>
      </c>
      <c r="O11" s="207">
        <f t="shared" si="3"/>
        <v>1.761021977989918E-2</v>
      </c>
      <c r="P11" s="4">
        <f>'1.1'!H10</f>
        <v>22174903.158437319</v>
      </c>
      <c r="Q11" s="204">
        <f t="shared" si="4"/>
        <v>8.9120466190330712E-3</v>
      </c>
    </row>
    <row r="12" spans="1:19" s="106" customFormat="1" ht="15" x14ac:dyDescent="0.25">
      <c r="A12" s="119">
        <v>1.2</v>
      </c>
      <c r="C12" s="106" t="s">
        <v>10</v>
      </c>
      <c r="I12" s="147"/>
      <c r="J12" s="117">
        <f>SUM(J13:J17)</f>
        <v>34884000</v>
      </c>
      <c r="K12" s="203">
        <f t="shared" si="0"/>
        <v>0.34012035354442843</v>
      </c>
      <c r="L12" s="117">
        <f>SUM(L13:L17)</f>
        <v>36125350</v>
      </c>
      <c r="M12" s="203">
        <f t="shared" si="2"/>
        <v>9.7270773533356031E-2</v>
      </c>
      <c r="N12" s="117">
        <f t="shared" ref="N12:P12" si="6">SUM(N13:N17)</f>
        <v>74847360</v>
      </c>
      <c r="O12" s="203">
        <f t="shared" si="3"/>
        <v>5.5110024785242864E-2</v>
      </c>
      <c r="P12" s="117">
        <f t="shared" si="6"/>
        <v>119694720</v>
      </c>
      <c r="Q12" s="209">
        <f t="shared" si="4"/>
        <v>4.8105054487520157E-2</v>
      </c>
    </row>
    <row r="13" spans="1:19" ht="15" outlineLevel="1" x14ac:dyDescent="0.25">
      <c r="A13" s="1" t="s">
        <v>9</v>
      </c>
      <c r="D13" t="s">
        <v>12</v>
      </c>
      <c r="I13" s="108"/>
      <c r="J13" s="4">
        <f>'1.2'!E4</f>
        <v>4440000</v>
      </c>
      <c r="K13" s="207">
        <f t="shared" si="0"/>
        <v>4.3290172277756632E-2</v>
      </c>
      <c r="L13" s="4">
        <f>'1.2'!F4</f>
        <v>5568500</v>
      </c>
      <c r="M13" s="207">
        <f t="shared" si="2"/>
        <v>1.4993690093535232E-2</v>
      </c>
      <c r="N13" s="4">
        <f>'1.2'!G4</f>
        <v>13497600</v>
      </c>
      <c r="O13" s="207">
        <f t="shared" si="3"/>
        <v>9.9382673021639525E-3</v>
      </c>
      <c r="P13" s="4">
        <f>'1.2'!H4</f>
        <v>26995200</v>
      </c>
      <c r="Q13" s="204">
        <f t="shared" si="4"/>
        <v>1.0849313711594833E-2</v>
      </c>
    </row>
    <row r="14" spans="1:19" ht="15" outlineLevel="1" x14ac:dyDescent="0.25">
      <c r="A14" s="1" t="s">
        <v>11</v>
      </c>
      <c r="D14" t="s">
        <v>13</v>
      </c>
      <c r="I14" s="108"/>
      <c r="J14" s="4">
        <f>'1.2'!E5</f>
        <v>444000</v>
      </c>
      <c r="K14" s="207">
        <f t="shared" si="0"/>
        <v>4.329017227775663E-3</v>
      </c>
      <c r="L14" s="4">
        <f>'1.2'!F5</f>
        <v>556850</v>
      </c>
      <c r="M14" s="207">
        <f t="shared" si="2"/>
        <v>1.4993690093535233E-3</v>
      </c>
      <c r="N14" s="4">
        <f>'1.2'!G5</f>
        <v>1349760</v>
      </c>
      <c r="O14" s="207">
        <f t="shared" si="3"/>
        <v>9.9382673021639512E-4</v>
      </c>
      <c r="P14" s="4">
        <f>'1.2'!H5</f>
        <v>2699520</v>
      </c>
      <c r="Q14" s="204">
        <f t="shared" si="4"/>
        <v>1.0849313711594833E-3</v>
      </c>
    </row>
    <row r="15" spans="1:19" ht="15" outlineLevel="1" x14ac:dyDescent="0.25">
      <c r="A15" s="1" t="s">
        <v>14</v>
      </c>
      <c r="D15" t="s">
        <v>15</v>
      </c>
      <c r="I15" s="108"/>
      <c r="J15" s="4">
        <f>'1.2'!E6</f>
        <v>0</v>
      </c>
      <c r="K15" s="207">
        <f t="shared" si="0"/>
        <v>0</v>
      </c>
      <c r="L15" s="4">
        <f>'1.2'!F6</f>
        <v>0</v>
      </c>
      <c r="M15" s="207">
        <f t="shared" si="2"/>
        <v>0</v>
      </c>
      <c r="N15" s="4">
        <f>'1.2'!G6</f>
        <v>0</v>
      </c>
      <c r="O15" s="207">
        <f t="shared" si="3"/>
        <v>0</v>
      </c>
      <c r="P15" s="4">
        <f>'1.2'!H6</f>
        <v>0</v>
      </c>
      <c r="Q15" s="204">
        <f t="shared" si="4"/>
        <v>0</v>
      </c>
    </row>
    <row r="16" spans="1:19" ht="15" outlineLevel="1" x14ac:dyDescent="0.25">
      <c r="A16" s="1" t="s">
        <v>16</v>
      </c>
      <c r="D16" t="s">
        <v>61</v>
      </c>
      <c r="I16" s="108"/>
      <c r="J16" s="4">
        <f>'1.2'!E7</f>
        <v>30000000</v>
      </c>
      <c r="K16" s="207">
        <f t="shared" si="0"/>
        <v>0.29250116403889614</v>
      </c>
      <c r="L16" s="4">
        <f>'1.2'!F7</f>
        <v>30000000</v>
      </c>
      <c r="M16" s="207">
        <f t="shared" si="2"/>
        <v>8.0777714430467273E-2</v>
      </c>
      <c r="N16" s="4">
        <f>'1.2'!G7</f>
        <v>60000000</v>
      </c>
      <c r="O16" s="207">
        <f t="shared" si="3"/>
        <v>4.417793075286252E-2</v>
      </c>
      <c r="P16" s="4">
        <f>'1.2'!H7</f>
        <v>90000000</v>
      </c>
      <c r="Q16" s="204">
        <f t="shared" si="4"/>
        <v>3.6170809404765844E-2</v>
      </c>
    </row>
    <row r="17" spans="1:27" ht="15" outlineLevel="1" x14ac:dyDescent="0.25">
      <c r="A17" s="1" t="s">
        <v>17</v>
      </c>
      <c r="D17" t="s">
        <v>18</v>
      </c>
      <c r="I17" s="108"/>
      <c r="J17" s="4">
        <f>'1.2'!E8</f>
        <v>0</v>
      </c>
      <c r="K17" s="207">
        <f t="shared" si="0"/>
        <v>0</v>
      </c>
      <c r="L17" s="4">
        <f>'1.2'!F8</f>
        <v>0</v>
      </c>
      <c r="M17" s="207">
        <f t="shared" si="2"/>
        <v>0</v>
      </c>
      <c r="N17" s="4">
        <f>'1.2'!G8</f>
        <v>0</v>
      </c>
      <c r="O17" s="207">
        <f t="shared" si="3"/>
        <v>0</v>
      </c>
      <c r="P17" s="4">
        <f>'1.2'!H8</f>
        <v>0</v>
      </c>
      <c r="Q17" s="204">
        <f t="shared" si="4"/>
        <v>0</v>
      </c>
      <c r="W17" s="91"/>
    </row>
    <row r="18" spans="1:27" s="106" customFormat="1" ht="15" x14ac:dyDescent="0.25">
      <c r="A18" s="119">
        <v>1.3</v>
      </c>
      <c r="C18" s="106" t="s">
        <v>19</v>
      </c>
      <c r="I18" s="147"/>
      <c r="J18" s="117">
        <f>SUM(J19:J23)</f>
        <v>2220884.1322834645</v>
      </c>
      <c r="K18" s="203">
        <f t="shared" si="0"/>
        <v>2.1653706462947574E-2</v>
      </c>
      <c r="L18" s="117">
        <f t="shared" ref="L18:P18" si="7">SUM(L19:L23)</f>
        <v>18353305.022834644</v>
      </c>
      <c r="M18" s="203">
        <f t="shared" si="2"/>
        <v>4.9417934399659913E-2</v>
      </c>
      <c r="N18" s="117">
        <f t="shared" si="7"/>
        <v>89913512.414173231</v>
      </c>
      <c r="O18" s="203">
        <f t="shared" si="3"/>
        <v>6.6203215419666492E-2</v>
      </c>
      <c r="P18" s="117">
        <f t="shared" si="7"/>
        <v>179454124.82834646</v>
      </c>
      <c r="Q18" s="209">
        <f t="shared" si="4"/>
        <v>7.2122232734057531E-2</v>
      </c>
    </row>
    <row r="19" spans="1:27" ht="15" outlineLevel="1" x14ac:dyDescent="0.25">
      <c r="A19" s="1" t="s">
        <v>20</v>
      </c>
      <c r="D19" t="s">
        <v>21</v>
      </c>
      <c r="I19" s="108"/>
      <c r="J19" s="4">
        <f>'1.3'!E4</f>
        <v>1449901.5748031496</v>
      </c>
      <c r="K19" s="207">
        <f t="shared" si="0"/>
        <v>1.4136596612391663E-2</v>
      </c>
      <c r="L19" s="4">
        <f>'1.3'!F4</f>
        <v>14499015.748031495</v>
      </c>
      <c r="M19" s="207">
        <f t="shared" si="2"/>
        <v>3.903991178724453E-2</v>
      </c>
      <c r="N19" s="4">
        <f>'1.3'!G4</f>
        <v>72495078.740157485</v>
      </c>
      <c r="O19" s="207">
        <f t="shared" si="3"/>
        <v>5.3378042808433217E-2</v>
      </c>
      <c r="P19" s="4">
        <f>'1.3'!H4</f>
        <v>144990157.48031497</v>
      </c>
      <c r="Q19" s="204">
        <f t="shared" si="4"/>
        <v>5.8271237242082864E-2</v>
      </c>
    </row>
    <row r="20" spans="1:27" ht="15" outlineLevel="1" x14ac:dyDescent="0.25">
      <c r="A20" s="1" t="s">
        <v>22</v>
      </c>
      <c r="D20" t="s">
        <v>23</v>
      </c>
      <c r="I20" s="108"/>
      <c r="J20" s="4">
        <f>'1.3'!E5</f>
        <v>569084</v>
      </c>
      <c r="K20" s="207">
        <f t="shared" si="0"/>
        <v>5.548591081197039E-3</v>
      </c>
      <c r="L20" s="4">
        <f>'1.3'!F5</f>
        <v>2185807</v>
      </c>
      <c r="M20" s="207">
        <f t="shared" si="2"/>
        <v>5.8854831215372121E-3</v>
      </c>
      <c r="N20" s="4">
        <f>'1.3'!G5</f>
        <v>9244478</v>
      </c>
      <c r="O20" s="207">
        <f t="shared" si="3"/>
        <v>6.8066984821726828E-3</v>
      </c>
      <c r="P20" s="4">
        <f>'1.3'!H5</f>
        <v>18149956</v>
      </c>
      <c r="Q20" s="204">
        <f t="shared" si="4"/>
        <v>7.2944288797876251E-3</v>
      </c>
    </row>
    <row r="21" spans="1:27" ht="15" outlineLevel="1" x14ac:dyDescent="0.25">
      <c r="A21" s="1" t="s">
        <v>24</v>
      </c>
      <c r="D21" t="s">
        <v>25</v>
      </c>
      <c r="I21" s="108"/>
      <c r="J21" s="4">
        <f>'1.3'!E6</f>
        <v>0</v>
      </c>
      <c r="K21" s="207">
        <f t="shared" si="0"/>
        <v>0</v>
      </c>
      <c r="L21" s="4">
        <f>'1.3'!F6</f>
        <v>0</v>
      </c>
      <c r="M21" s="207">
        <f t="shared" si="2"/>
        <v>0</v>
      </c>
      <c r="N21" s="4">
        <f>'1.3'!G6</f>
        <v>0</v>
      </c>
      <c r="O21" s="207">
        <f t="shared" si="3"/>
        <v>0</v>
      </c>
      <c r="P21" s="4">
        <f>'1.3'!H6</f>
        <v>0</v>
      </c>
      <c r="Q21" s="204">
        <f t="shared" si="4"/>
        <v>0</v>
      </c>
    </row>
    <row r="22" spans="1:27" ht="15" outlineLevel="1" x14ac:dyDescent="0.25">
      <c r="A22" s="1" t="s">
        <v>26</v>
      </c>
      <c r="D22" t="s">
        <v>27</v>
      </c>
      <c r="I22" s="108"/>
      <c r="J22" s="4">
        <f>'1.3'!E7</f>
        <v>201898.55748031498</v>
      </c>
      <c r="K22" s="207">
        <f t="shared" si="0"/>
        <v>1.9685187693588707E-3</v>
      </c>
      <c r="L22" s="4">
        <f>'1.3'!F7</f>
        <v>1668482.2748031495</v>
      </c>
      <c r="M22" s="207">
        <f t="shared" si="2"/>
        <v>4.4925394908781743E-3</v>
      </c>
      <c r="N22" s="4">
        <f>'1.3'!G7</f>
        <v>8173955.6740157492</v>
      </c>
      <c r="O22" s="207">
        <f t="shared" si="3"/>
        <v>6.0184741290605906E-3</v>
      </c>
      <c r="P22" s="4">
        <f>'1.3'!H7</f>
        <v>16314011.348031498</v>
      </c>
      <c r="Q22" s="204">
        <f t="shared" si="4"/>
        <v>6.5565666121870491E-3</v>
      </c>
      <c r="R22" s="24"/>
    </row>
    <row r="23" spans="1:27" ht="15" outlineLevel="1" x14ac:dyDescent="0.25">
      <c r="A23" s="1" t="s">
        <v>28</v>
      </c>
      <c r="D23" t="s">
        <v>18</v>
      </c>
      <c r="I23" s="108"/>
      <c r="J23" s="4">
        <f>'1.3'!E8</f>
        <v>0</v>
      </c>
      <c r="K23" s="207">
        <f t="shared" si="0"/>
        <v>0</v>
      </c>
      <c r="L23" s="4">
        <f>'1.3'!F8</f>
        <v>0</v>
      </c>
      <c r="M23" s="207">
        <f t="shared" si="2"/>
        <v>0</v>
      </c>
      <c r="N23" s="4">
        <f>'1.3'!G8</f>
        <v>0</v>
      </c>
      <c r="O23" s="207">
        <f t="shared" si="3"/>
        <v>0</v>
      </c>
      <c r="P23" s="4">
        <f>'1.3'!H8</f>
        <v>0</v>
      </c>
      <c r="Q23" s="204">
        <f t="shared" si="4"/>
        <v>0</v>
      </c>
      <c r="R23" s="9"/>
      <c r="S23" s="9"/>
      <c r="T23" s="9"/>
      <c r="U23" s="9"/>
    </row>
    <row r="24" spans="1:27" s="106" customFormat="1" ht="15" x14ac:dyDescent="0.25">
      <c r="A24" s="119">
        <v>1.4</v>
      </c>
      <c r="C24" s="106" t="s">
        <v>29</v>
      </c>
      <c r="I24" s="234">
        <f>SUM(I25:I29)</f>
        <v>1689.3025</v>
      </c>
      <c r="J24" s="117">
        <f>SUM(J25:J29)</f>
        <v>8856019.6508023404</v>
      </c>
      <c r="K24" s="203">
        <f t="shared" si="0"/>
        <v>8.6346535220367435E-2</v>
      </c>
      <c r="L24" s="117">
        <f>SUM(L25:L29)</f>
        <v>58581408.93326214</v>
      </c>
      <c r="M24" s="203">
        <f t="shared" si="2"/>
        <v>0.15773574405818244</v>
      </c>
      <c r="N24" s="117">
        <f>SUM(N25:N29)</f>
        <v>249475394.72648552</v>
      </c>
      <c r="O24" s="203">
        <f t="shared" si="3"/>
        <v>0.18368844521282868</v>
      </c>
      <c r="P24" s="117">
        <f>SUM(P25:P29)</f>
        <v>475762842.19307929</v>
      </c>
      <c r="Q24" s="209">
        <f t="shared" si="4"/>
        <v>0.19120807874261733</v>
      </c>
      <c r="R24" s="212"/>
      <c r="S24" s="212"/>
      <c r="T24" s="212"/>
      <c r="U24" s="212"/>
      <c r="V24" s="213"/>
      <c r="W24" s="212"/>
      <c r="X24" s="212"/>
      <c r="Y24" s="212"/>
    </row>
    <row r="25" spans="1:27" s="7" customFormat="1" ht="15" outlineLevel="1" x14ac:dyDescent="0.25">
      <c r="A25" s="1" t="s">
        <v>30</v>
      </c>
      <c r="D25" s="7" t="str">
        <f>'1.4'!D4</f>
        <v>Wing</v>
      </c>
      <c r="I25" s="235">
        <f>'1.4'!E23</f>
        <v>1170.6500000000001</v>
      </c>
      <c r="J25" s="200">
        <f>'1.4'!E4</f>
        <v>5786718.8420737926</v>
      </c>
      <c r="K25" s="207">
        <f t="shared" si="0"/>
        <v>5.642073324241325E-2</v>
      </c>
      <c r="L25" s="200">
        <f>'1.4'!F4</f>
        <v>38221484.609232239</v>
      </c>
      <c r="M25" s="207">
        <f t="shared" si="2"/>
        <v>0.10291480562910206</v>
      </c>
      <c r="N25" s="200">
        <f>'1.4'!G4</f>
        <v>162711577.72185919</v>
      </c>
      <c r="O25" s="207">
        <f t="shared" si="3"/>
        <v>0.11980434688808837</v>
      </c>
      <c r="P25" s="200">
        <f>'1.4'!H4</f>
        <v>310252652.560601</v>
      </c>
      <c r="Q25" s="204">
        <f t="shared" si="4"/>
        <v>0.12468988403436151</v>
      </c>
      <c r="R25" s="16"/>
      <c r="S25" s="16"/>
      <c r="T25" s="16"/>
      <c r="U25" s="16"/>
      <c r="V25" s="9"/>
      <c r="W25" s="9"/>
      <c r="X25" s="9"/>
      <c r="Y25" s="9"/>
      <c r="AA25" s="24"/>
    </row>
    <row r="26" spans="1:27" ht="15" outlineLevel="1" x14ac:dyDescent="0.25">
      <c r="A26" s="1" t="s">
        <v>31</v>
      </c>
      <c r="D26" s="113" t="str">
        <f>'1.4'!D5</f>
        <v>PTO and Power Electronics Nacelle</v>
      </c>
      <c r="I26" s="235">
        <f>'1.4'!E36</f>
        <v>118.77</v>
      </c>
      <c r="J26" s="200">
        <f>'1.4'!E5</f>
        <v>699885.42026250775</v>
      </c>
      <c r="K26" s="207">
        <f t="shared" si="0"/>
        <v>6.8239100040211852E-3</v>
      </c>
      <c r="L26" s="200">
        <f>'1.4'!F5</f>
        <v>4571314.5696102027</v>
      </c>
      <c r="M26" s="207">
        <f t="shared" si="2"/>
        <v>1.2308678095860245E-2</v>
      </c>
      <c r="N26" s="200">
        <f>'1.4'!G5</f>
        <v>19259736.006109957</v>
      </c>
      <c r="O26" s="207">
        <f t="shared" si="3"/>
        <v>1.418092139327231E-2</v>
      </c>
      <c r="P26" s="200">
        <f>'1.4'!H5</f>
        <v>36522329.772884488</v>
      </c>
      <c r="Q26" s="204">
        <f t="shared" si="4"/>
        <v>1.4678246991477887E-2</v>
      </c>
      <c r="R26" s="16"/>
      <c r="S26" s="16"/>
      <c r="T26" s="16"/>
      <c r="U26" s="16"/>
      <c r="V26" s="9"/>
      <c r="W26" s="9"/>
      <c r="X26" s="9"/>
      <c r="Y26" s="9"/>
    </row>
    <row r="27" spans="1:27" ht="15" outlineLevel="1" x14ac:dyDescent="0.25">
      <c r="A27" s="1" t="s">
        <v>32</v>
      </c>
      <c r="D27" s="113" t="str">
        <f>'1.4'!D6</f>
        <v>Fairing</v>
      </c>
      <c r="I27" s="235">
        <f>'1.4'!E48</f>
        <v>176.83</v>
      </c>
      <c r="J27" s="200">
        <f>'1.4'!E6</f>
        <v>725727.00105530967</v>
      </c>
      <c r="K27" s="207">
        <f t="shared" si="0"/>
        <v>7.0758664194378431E-3</v>
      </c>
      <c r="L27" s="200">
        <f>'1.4'!F6</f>
        <v>5052853.3101844387</v>
      </c>
      <c r="M27" s="207">
        <f t="shared" si="2"/>
        <v>1.3605264724970662E-2</v>
      </c>
      <c r="N27" s="200">
        <f>'1.4'!G6</f>
        <v>22267609.408529282</v>
      </c>
      <c r="O27" s="207">
        <f t="shared" si="3"/>
        <v>1.6395615108029941E-2</v>
      </c>
      <c r="P27" s="200">
        <f>'1.4'!H6</f>
        <v>43186946.869545519</v>
      </c>
      <c r="Q27" s="204">
        <f t="shared" si="4"/>
        <v>1.7356742488800887E-2</v>
      </c>
      <c r="R27" s="16"/>
      <c r="S27" s="16"/>
      <c r="T27" s="16"/>
      <c r="U27" s="16"/>
      <c r="V27" s="9"/>
      <c r="W27" s="9"/>
      <c r="X27" s="9"/>
      <c r="Y27" s="9"/>
    </row>
    <row r="28" spans="1:27" ht="15" outlineLevel="1" x14ac:dyDescent="0.25">
      <c r="A28" s="1" t="s">
        <v>33</v>
      </c>
      <c r="D28" s="113" t="str">
        <f>'1.4'!D7</f>
        <v>Device Access (Railings, Ladders, etc)</v>
      </c>
      <c r="I28" s="235">
        <f>'1.4'!E58</f>
        <v>73.3125</v>
      </c>
      <c r="J28" s="200">
        <f>'1.4'!E7</f>
        <v>721233.12633916107</v>
      </c>
      <c r="K28" s="207">
        <f t="shared" si="0"/>
        <v>7.0320509665872284E-3</v>
      </c>
      <c r="L28" s="200">
        <f>'1.4'!F7</f>
        <v>4798350.3307936005</v>
      </c>
      <c r="M28" s="207">
        <f t="shared" si="2"/>
        <v>1.2919992425272787E-2</v>
      </c>
      <c r="N28" s="200">
        <f>'1.4'!G7</f>
        <v>20470807.842346847</v>
      </c>
      <c r="O28" s="207">
        <f t="shared" si="3"/>
        <v>1.5072632188572566E-2</v>
      </c>
      <c r="P28" s="200">
        <f>'1.4'!H7</f>
        <v>39078705.417463124</v>
      </c>
      <c r="Q28" s="204">
        <f t="shared" si="4"/>
        <v>1.5705648949333878E-2</v>
      </c>
    </row>
    <row r="29" spans="1:27" ht="15" outlineLevel="1" x14ac:dyDescent="0.25">
      <c r="A29" s="1" t="s">
        <v>76</v>
      </c>
      <c r="D29" s="113" t="str">
        <f>'1.4'!D8</f>
        <v>Buoyancy Tank</v>
      </c>
      <c r="I29" s="235">
        <f>'1.4'!E70</f>
        <v>149.74</v>
      </c>
      <c r="J29" s="200">
        <f>'1.4'!E8</f>
        <v>922455.26107156975</v>
      </c>
      <c r="K29" s="207">
        <f t="shared" si="0"/>
        <v>8.9939745879079325E-3</v>
      </c>
      <c r="L29" s="200">
        <f>'1.4'!F8</f>
        <v>5937406.1134416591</v>
      </c>
      <c r="M29" s="207">
        <f t="shared" si="2"/>
        <v>1.5987003182976696E-2</v>
      </c>
      <c r="N29" s="200">
        <f>'1.4'!G8</f>
        <v>24765663.747640252</v>
      </c>
      <c r="O29" s="207">
        <f t="shared" si="3"/>
        <v>1.8234929634865477E-2</v>
      </c>
      <c r="P29" s="200">
        <f>'1.4'!H8</f>
        <v>46722207.572585166</v>
      </c>
      <c r="Q29" s="204">
        <f t="shared" si="4"/>
        <v>1.8777556278643172E-2</v>
      </c>
      <c r="R29" s="16"/>
      <c r="S29" s="16"/>
      <c r="T29" s="16"/>
      <c r="U29" s="16"/>
    </row>
    <row r="30" spans="1:27" s="106" customFormat="1" ht="15" x14ac:dyDescent="0.25">
      <c r="A30" s="119">
        <v>1.5</v>
      </c>
      <c r="C30" s="106" t="s">
        <v>34</v>
      </c>
      <c r="I30" s="234">
        <f>SUM(I31:I43)</f>
        <v>673.55404081632639</v>
      </c>
      <c r="J30" s="201">
        <f>SUM(J31:J44)</f>
        <v>21622845.291483097</v>
      </c>
      <c r="K30" s="203">
        <f t="shared" si="0"/>
        <v>0.21082358058639236</v>
      </c>
      <c r="L30" s="201">
        <f>SUM(L31:L44)</f>
        <v>150396584.99788687</v>
      </c>
      <c r="M30" s="203">
        <f t="shared" si="2"/>
        <v>0.40495641314256009</v>
      </c>
      <c r="N30" s="201">
        <f>SUM(N31:N44)</f>
        <v>600781220.49522614</v>
      </c>
      <c r="O30" s="203">
        <f t="shared" si="3"/>
        <v>0.4423545192776388</v>
      </c>
      <c r="P30" s="201">
        <f>SUM(P31:P44)</f>
        <v>1098683153.0587022</v>
      </c>
      <c r="Q30" s="209">
        <f t="shared" si="4"/>
        <v>0.44155843250570553</v>
      </c>
    </row>
    <row r="31" spans="1:27" ht="15" outlineLevel="1" x14ac:dyDescent="0.25">
      <c r="A31" s="1" t="s">
        <v>35</v>
      </c>
      <c r="D31" t="s">
        <v>36</v>
      </c>
      <c r="I31" s="235">
        <f>'1.5'!L4/1000</f>
        <v>20.952380952380949</v>
      </c>
      <c r="J31" s="4">
        <f>'1.5'!G4</f>
        <v>1416000</v>
      </c>
      <c r="K31" s="207">
        <f t="shared" si="0"/>
        <v>1.3806054942635898E-2</v>
      </c>
      <c r="L31" s="4">
        <f>'1.5'!H4</f>
        <v>7161687.4391732374</v>
      </c>
      <c r="M31" s="207">
        <f t="shared" si="2"/>
        <v>1.9283491426726675E-2</v>
      </c>
      <c r="N31" s="4">
        <f>'1.5'!I4</f>
        <v>22236005.464253489</v>
      </c>
      <c r="O31" s="207">
        <f t="shared" si="3"/>
        <v>1.6372345160334388E-2</v>
      </c>
      <c r="P31" s="4">
        <f>'1.5'!J4</f>
        <v>36221586.847748391</v>
      </c>
      <c r="Q31" s="204">
        <f t="shared" si="4"/>
        <v>1.4557379046756448E-2</v>
      </c>
    </row>
    <row r="32" spans="1:27" ht="15" outlineLevel="1" x14ac:dyDescent="0.25">
      <c r="A32" s="1" t="s">
        <v>37</v>
      </c>
      <c r="D32" s="113" t="s">
        <v>74</v>
      </c>
      <c r="I32" s="235">
        <f>'1.5'!L5/1000</f>
        <v>321.65532879818591</v>
      </c>
      <c r="J32" s="4">
        <f>'1.5'!G5</f>
        <v>7225650.0531471018</v>
      </c>
      <c r="K32" s="207">
        <f t="shared" si="0"/>
        <v>7.0450368382774631E-2</v>
      </c>
      <c r="L32" s="4">
        <f>'1.5'!H5</f>
        <v>44259298.954775341</v>
      </c>
      <c r="M32" s="207">
        <f t="shared" si="2"/>
        <v>0.11917216706205069</v>
      </c>
      <c r="N32" s="4">
        <f>'1.5'!I5</f>
        <v>157102507.56886247</v>
      </c>
      <c r="O32" s="207">
        <f t="shared" si="3"/>
        <v>0.1156743950079711</v>
      </c>
      <c r="P32" s="4">
        <f>'1.5'!J5</f>
        <v>271101635.08610457</v>
      </c>
      <c r="Q32" s="204">
        <f t="shared" si="4"/>
        <v>0.10895517302244299</v>
      </c>
    </row>
    <row r="33" spans="1:18" ht="15" outlineLevel="1" x14ac:dyDescent="0.25">
      <c r="A33" s="1" t="s">
        <v>38</v>
      </c>
      <c r="D33" s="113" t="s">
        <v>40</v>
      </c>
      <c r="I33" s="235">
        <f>'1.5'!L6/1000</f>
        <v>0</v>
      </c>
      <c r="J33" s="4">
        <f>'1.5'!G6</f>
        <v>93766.666666666686</v>
      </c>
      <c r="K33" s="207">
        <f t="shared" si="0"/>
        <v>9.1422863826823894E-4</v>
      </c>
      <c r="L33" s="4">
        <f>'1.5'!H6</f>
        <v>790765.83250016486</v>
      </c>
      <c r="M33" s="207">
        <f t="shared" si="2"/>
        <v>2.1292085533023012E-3</v>
      </c>
      <c r="N33" s="4">
        <f>'1.5'!I6</f>
        <v>3509891.678764076</v>
      </c>
      <c r="O33" s="207">
        <f t="shared" si="3"/>
        <v>2.5843291922414621E-3</v>
      </c>
      <c r="P33" s="4">
        <f>'1.5'!J6</f>
        <v>6668794.1896517444</v>
      </c>
      <c r="Q33" s="204">
        <f t="shared" si="4"/>
        <v>2.6801742621500348E-3</v>
      </c>
    </row>
    <row r="34" spans="1:18" ht="15" outlineLevel="1" x14ac:dyDescent="0.25">
      <c r="A34" s="1" t="s">
        <v>39</v>
      </c>
      <c r="D34" s="113" t="s">
        <v>41</v>
      </c>
      <c r="I34" s="235">
        <f>'1.5'!L7/1000</f>
        <v>9.0376417233560105</v>
      </c>
      <c r="J34" s="4">
        <f>'1.5'!G7</f>
        <v>1000000</v>
      </c>
      <c r="K34" s="207">
        <f t="shared" si="0"/>
        <v>9.7500388012965386E-3</v>
      </c>
      <c r="L34" s="4">
        <f>'1.5'!H7</f>
        <v>6544742.1593335029</v>
      </c>
      <c r="M34" s="207">
        <f t="shared" si="2"/>
        <v>1.7622310438922713E-2</v>
      </c>
      <c r="N34" s="4">
        <f>'1.5'!I7</f>
        <v>24331952.207572788</v>
      </c>
      <c r="O34" s="207">
        <f t="shared" si="3"/>
        <v>1.7915588328468516E-2</v>
      </c>
      <c r="P34" s="4">
        <f>'1.5'!J7</f>
        <v>42833649.932157367</v>
      </c>
      <c r="Q34" s="204">
        <f t="shared" si="4"/>
        <v>1.7214753197850284E-2</v>
      </c>
    </row>
    <row r="35" spans="1:18" ht="15" outlineLevel="1" x14ac:dyDescent="0.25">
      <c r="A35" s="1" t="s">
        <v>42</v>
      </c>
      <c r="D35" s="113" t="s">
        <v>43</v>
      </c>
      <c r="I35" s="235">
        <f>'1.5'!L8/1000</f>
        <v>24.943310657596371</v>
      </c>
      <c r="J35" s="4">
        <f>'1.5'!G8</f>
        <v>875000</v>
      </c>
      <c r="K35" s="207">
        <f t="shared" si="0"/>
        <v>8.5312839511344704E-3</v>
      </c>
      <c r="L35" s="4">
        <f>'1.5'!H8</f>
        <v>7379169.2510235766</v>
      </c>
      <c r="M35" s="207">
        <f t="shared" si="2"/>
        <v>1.9869080883108917E-2</v>
      </c>
      <c r="N35" s="4">
        <f>'1.5'!I8</f>
        <v>32753166.216692846</v>
      </c>
      <c r="O35" s="207">
        <f t="shared" si="3"/>
        <v>2.4116118484300876E-2</v>
      </c>
      <c r="P35" s="4">
        <f>'1.5'!J8</f>
        <v>62231015.811716408</v>
      </c>
      <c r="Q35" s="204">
        <f t="shared" si="4"/>
        <v>2.5010513466561819E-2</v>
      </c>
    </row>
    <row r="36" spans="1:18" ht="15" outlineLevel="1" x14ac:dyDescent="0.25">
      <c r="A36" s="1" t="s">
        <v>44</v>
      </c>
      <c r="D36" s="113" t="s">
        <v>45</v>
      </c>
      <c r="I36" s="235">
        <f>'1.5'!L9/1000</f>
        <v>0</v>
      </c>
      <c r="J36" s="4">
        <f>'1.5'!G9</f>
        <v>432000</v>
      </c>
      <c r="K36" s="207">
        <f t="shared" si="0"/>
        <v>4.2120167621601048E-3</v>
      </c>
      <c r="L36" s="4">
        <f>'1.5'!H9</f>
        <v>4039591.0484780907</v>
      </c>
      <c r="M36" s="207">
        <f t="shared" si="2"/>
        <v>1.0876964404327836E-2</v>
      </c>
      <c r="N36" s="4">
        <f>'1.5'!I9</f>
        <v>19272363.755366974</v>
      </c>
      <c r="O36" s="207">
        <f t="shared" si="3"/>
        <v>1.4190219190476326E-2</v>
      </c>
      <c r="P36" s="4">
        <f>'1.5'!J9</f>
        <v>37773832.960519262</v>
      </c>
      <c r="Q36" s="204">
        <f t="shared" si="4"/>
        <v>1.5181223472248935E-2</v>
      </c>
    </row>
    <row r="37" spans="1:18" ht="15" outlineLevel="1" x14ac:dyDescent="0.25">
      <c r="A37" s="1" t="s">
        <v>46</v>
      </c>
      <c r="D37" s="113" t="s">
        <v>47</v>
      </c>
      <c r="I37" s="235">
        <f>'1.5'!L10/1000</f>
        <v>0</v>
      </c>
      <c r="J37" s="4">
        <f>'1.5'!G10</f>
        <v>0</v>
      </c>
      <c r="K37" s="207">
        <f t="shared" si="0"/>
        <v>0</v>
      </c>
      <c r="L37" s="4">
        <f>'1.5'!H10</f>
        <v>0</v>
      </c>
      <c r="M37" s="207">
        <f t="shared" si="2"/>
        <v>0</v>
      </c>
      <c r="N37" s="4">
        <f>'1.5'!I10</f>
        <v>0</v>
      </c>
      <c r="O37" s="207">
        <f t="shared" si="3"/>
        <v>0</v>
      </c>
      <c r="P37" s="4">
        <f>'1.5'!J10</f>
        <v>0</v>
      </c>
      <c r="Q37" s="204">
        <f t="shared" si="4"/>
        <v>0</v>
      </c>
    </row>
    <row r="38" spans="1:18" ht="15" outlineLevel="1" x14ac:dyDescent="0.25">
      <c r="A38" s="1" t="s">
        <v>48</v>
      </c>
      <c r="D38" s="113" t="s">
        <v>62</v>
      </c>
      <c r="I38" s="235">
        <f>'1.5'!L11/1000</f>
        <v>39.267682539682546</v>
      </c>
      <c r="J38" s="4">
        <f>'1.5'!G11</f>
        <v>2005596</v>
      </c>
      <c r="K38" s="207">
        <f t="shared" si="0"/>
        <v>1.9554638819725131E-2</v>
      </c>
      <c r="L38" s="4">
        <f>'1.5'!H11</f>
        <v>19113726.84563636</v>
      </c>
      <c r="M38" s="207">
        <f t="shared" si="2"/>
        <v>5.1465438961292326E-2</v>
      </c>
      <c r="N38" s="4">
        <f>'1.5'!I11</f>
        <v>92407718.694488361</v>
      </c>
      <c r="O38" s="207">
        <f t="shared" si="3"/>
        <v>6.8039696625251764E-2</v>
      </c>
      <c r="P38" s="4">
        <f>'1.5'!J11</f>
        <v>182157599.99999997</v>
      </c>
      <c r="Q38" s="204">
        <f t="shared" si="4"/>
        <v>7.32087536803286E-2</v>
      </c>
    </row>
    <row r="39" spans="1:18" ht="15" outlineLevel="1" x14ac:dyDescent="0.25">
      <c r="A39" s="1" t="s">
        <v>63</v>
      </c>
      <c r="D39" s="113" t="s">
        <v>64</v>
      </c>
      <c r="I39" s="235">
        <f>'1.5'!L12/1000</f>
        <v>0</v>
      </c>
      <c r="J39" s="4">
        <f>'1.5'!G12</f>
        <v>400000</v>
      </c>
      <c r="K39" s="207">
        <f t="shared" si="0"/>
        <v>3.9000155205186154E-3</v>
      </c>
      <c r="L39" s="4">
        <f>'1.5'!H12</f>
        <v>3381954.5834595524</v>
      </c>
      <c r="M39" s="207">
        <f t="shared" si="2"/>
        <v>9.1062187186501872E-3</v>
      </c>
      <c r="N39" s="4">
        <f>'1.5'!I12</f>
        <v>15037938.348065628</v>
      </c>
      <c r="O39" s="207">
        <f t="shared" si="3"/>
        <v>1.1072416650110984E-2</v>
      </c>
      <c r="P39" s="4">
        <f>'1.5'!J12</f>
        <v>28594042.011457674</v>
      </c>
      <c r="Q39" s="204">
        <f t="shared" si="4"/>
        <v>1.1491884930092254E-2</v>
      </c>
      <c r="R39" s="16"/>
    </row>
    <row r="40" spans="1:18" ht="15" outlineLevel="1" x14ac:dyDescent="0.25">
      <c r="A40" s="1" t="s">
        <v>69</v>
      </c>
      <c r="D40" s="113" t="s">
        <v>66</v>
      </c>
      <c r="I40" s="235">
        <f>'1.5'!L13/1000</f>
        <v>73.278784580498865</v>
      </c>
      <c r="J40" s="4">
        <f>'1.5'!G13</f>
        <v>2372304</v>
      </c>
      <c r="K40" s="207">
        <f t="shared" si="0"/>
        <v>2.3130056048470984E-2</v>
      </c>
      <c r="L40" s="4">
        <f>'1.5'!H13</f>
        <v>20627254.04631611</v>
      </c>
      <c r="M40" s="207">
        <f t="shared" si="2"/>
        <v>5.554074789460077E-2</v>
      </c>
      <c r="N40" s="4">
        <f>'1.5'!I13</f>
        <v>93532754.790953368</v>
      </c>
      <c r="O40" s="207">
        <f t="shared" si="3"/>
        <v>6.8868059404653459E-2</v>
      </c>
      <c r="P40" s="4">
        <f>'1.5'!J13</f>
        <v>179354589.24794811</v>
      </c>
      <c r="Q40" s="204">
        <f t="shared" si="4"/>
        <v>7.208222959508441E-2</v>
      </c>
    </row>
    <row r="41" spans="1:18" ht="15" outlineLevel="1" x14ac:dyDescent="0.25">
      <c r="A41" s="1" t="s">
        <v>70</v>
      </c>
      <c r="D41" s="113" t="s">
        <v>67</v>
      </c>
      <c r="I41" s="235">
        <f>'1.5'!L14/1000</f>
        <v>0</v>
      </c>
      <c r="J41" s="4">
        <f>'1.5'!G14</f>
        <v>1965713.2083166451</v>
      </c>
      <c r="K41" s="207">
        <f t="shared" si="0"/>
        <v>1.9165780053308396E-2</v>
      </c>
      <c r="L41" s="4">
        <f>'1.5'!H14</f>
        <v>13672416.817989716</v>
      </c>
      <c r="M41" s="207">
        <f t="shared" si="2"/>
        <v>3.6814219376596374E-2</v>
      </c>
      <c r="N41" s="4">
        <f>'1.5'!I14</f>
        <v>54616474.590475112</v>
      </c>
      <c r="O41" s="207">
        <f t="shared" si="3"/>
        <v>4.0214047207058082E-2</v>
      </c>
      <c r="P41" s="4">
        <f>'1.5'!J14</f>
        <v>99880286.641700208</v>
      </c>
      <c r="Q41" s="204">
        <f t="shared" si="4"/>
        <v>4.0141675682336869E-2</v>
      </c>
    </row>
    <row r="42" spans="1:18" ht="15" outlineLevel="1" x14ac:dyDescent="0.25">
      <c r="A42" s="1" t="s">
        <v>71</v>
      </c>
      <c r="D42" s="113" t="s">
        <v>72</v>
      </c>
      <c r="I42" s="235">
        <f>'1.5'!L15/1000</f>
        <v>73.278911564625844</v>
      </c>
      <c r="J42" s="4">
        <f>'1.5'!G15</f>
        <v>1397172</v>
      </c>
      <c r="K42" s="207">
        <f t="shared" si="0"/>
        <v>1.3622481212085088E-2</v>
      </c>
      <c r="L42" s="4">
        <f>'1.5'!H15</f>
        <v>8517876.9408383518</v>
      </c>
      <c r="M42" s="207">
        <f t="shared" si="2"/>
        <v>2.2935154369363418E-2</v>
      </c>
      <c r="N42" s="4">
        <f>'1.5'!I15</f>
        <v>30135595.125324477</v>
      </c>
      <c r="O42" s="207">
        <f t="shared" si="3"/>
        <v>2.2188803910714767E-2</v>
      </c>
      <c r="P42" s="4">
        <f>'1.5'!J15</f>
        <v>51929345.548912868</v>
      </c>
      <c r="Q42" s="204">
        <f t="shared" si="4"/>
        <v>2.0870294004043922E-2</v>
      </c>
    </row>
    <row r="43" spans="1:18" s="5" customFormat="1" ht="15" outlineLevel="1" x14ac:dyDescent="0.25">
      <c r="A43" s="1" t="s">
        <v>73</v>
      </c>
      <c r="D43" s="113" t="s">
        <v>402</v>
      </c>
      <c r="I43" s="235">
        <f>'1.5'!L16/1000</f>
        <v>111.14</v>
      </c>
      <c r="J43" s="4">
        <f>'1.5'!G16</f>
        <v>980071.27379646187</v>
      </c>
      <c r="K43" s="207">
        <f t="shared" si="0"/>
        <v>9.5557329475516265E-3</v>
      </c>
      <c r="L43" s="4">
        <f>'1.5'!H16</f>
        <v>8265270.6370404121</v>
      </c>
      <c r="M43" s="207">
        <f t="shared" si="2"/>
        <v>2.2254989040312555E-2</v>
      </c>
      <c r="N43" s="4">
        <f>'1.5'!I16</f>
        <v>36686214.096984453</v>
      </c>
      <c r="O43" s="207">
        <f t="shared" si="3"/>
        <v>2.7012017099354465E-2</v>
      </c>
      <c r="P43" s="4">
        <f>'1.5'!J16</f>
        <v>69703806.784270465</v>
      </c>
      <c r="Q43" s="204">
        <f t="shared" si="4"/>
        <v>2.801381233311635E-2</v>
      </c>
    </row>
    <row r="44" spans="1:18" s="118" customFormat="1" ht="15" outlineLevel="1" x14ac:dyDescent="0.25">
      <c r="A44" s="84" t="s">
        <v>403</v>
      </c>
      <c r="D44" s="118" t="s">
        <v>18</v>
      </c>
      <c r="I44" s="202"/>
      <c r="J44" s="363">
        <f>'1.5'!G17</f>
        <v>1459572.0895562193</v>
      </c>
      <c r="K44" s="207">
        <f t="shared" si="0"/>
        <v>1.4230884506462604E-2</v>
      </c>
      <c r="L44" s="363">
        <f>'1.5'!H17</f>
        <v>6642830.441322444</v>
      </c>
      <c r="M44" s="207">
        <f t="shared" si="2"/>
        <v>1.7886422013305307E-2</v>
      </c>
      <c r="N44" s="363">
        <f>'1.5'!I17</f>
        <v>19158637.957422193</v>
      </c>
      <c r="O44" s="207">
        <f t="shared" si="3"/>
        <v>1.4106483016702684E-2</v>
      </c>
      <c r="P44" s="363">
        <f>'1.5'!J17</f>
        <v>30232967.996515293</v>
      </c>
      <c r="Q44" s="204">
        <f t="shared" si="4"/>
        <v>1.2150565812692669E-2</v>
      </c>
    </row>
    <row r="45" spans="1:18" s="106" customFormat="1" ht="15" x14ac:dyDescent="0.25">
      <c r="A45" s="119">
        <v>1.6</v>
      </c>
      <c r="C45" s="106" t="s">
        <v>77</v>
      </c>
      <c r="I45" s="147"/>
      <c r="J45" s="231">
        <f>10%*(J30+J24)</f>
        <v>3047886.4942285437</v>
      </c>
      <c r="K45" s="203">
        <f t="shared" si="0"/>
        <v>2.9717011580675978E-2</v>
      </c>
      <c r="L45" s="231">
        <f>10%*(L30+L24)</f>
        <v>20897799.393114902</v>
      </c>
      <c r="M45" s="203">
        <f t="shared" si="2"/>
        <v>5.6269215720074262E-2</v>
      </c>
      <c r="N45" s="231">
        <f>10%*(N30+N24)</f>
        <v>85025661.52217117</v>
      </c>
      <c r="O45" s="203">
        <f t="shared" si="3"/>
        <v>6.2604296449046748E-2</v>
      </c>
      <c r="P45" s="231">
        <f>10%*(P30+P24)</f>
        <v>157444599.52517816</v>
      </c>
      <c r="Q45" s="209">
        <f t="shared" si="4"/>
        <v>6.3276651124832287E-2</v>
      </c>
    </row>
    <row r="46" spans="1:18" s="106" customFormat="1" ht="15" x14ac:dyDescent="0.25">
      <c r="A46" s="119">
        <v>1.7</v>
      </c>
      <c r="C46" s="106" t="s">
        <v>49</v>
      </c>
      <c r="I46" s="147"/>
      <c r="J46" s="117">
        <f>SUM(J47:J52)</f>
        <v>12805055.213425925</v>
      </c>
      <c r="K46" s="203">
        <f t="shared" si="0"/>
        <v>0.1248497851836473</v>
      </c>
      <c r="L46" s="117">
        <f t="shared" ref="L46:P46" si="8">SUM(L47:L52)</f>
        <v>33025252.738425948</v>
      </c>
      <c r="M46" s="203">
        <f t="shared" si="2"/>
        <v>8.8923481156619286E-2</v>
      </c>
      <c r="N46" s="117">
        <f t="shared" si="8"/>
        <v>95817735.210648164</v>
      </c>
      <c r="O46" s="203">
        <f t="shared" si="3"/>
        <v>7.0550487850535526E-2</v>
      </c>
      <c r="P46" s="117">
        <f t="shared" si="8"/>
        <v>186450876.23842591</v>
      </c>
      <c r="Q46" s="209">
        <f t="shared" si="4"/>
        <v>7.4934212308574319E-2</v>
      </c>
    </row>
    <row r="47" spans="1:18" ht="15" outlineLevel="1" x14ac:dyDescent="0.25">
      <c r="A47" s="1" t="s">
        <v>78</v>
      </c>
      <c r="D47" t="s">
        <v>50</v>
      </c>
      <c r="I47" s="108"/>
      <c r="J47" s="4">
        <f>'1.7'!F5</f>
        <v>73450</v>
      </c>
      <c r="K47" s="207">
        <f t="shared" si="0"/>
        <v>7.1614034995523079E-4</v>
      </c>
      <c r="L47" s="4">
        <f>'1.7'!G5</f>
        <v>709500</v>
      </c>
      <c r="M47" s="207">
        <f t="shared" si="2"/>
        <v>1.910392946280551E-3</v>
      </c>
      <c r="N47" s="4">
        <f>'1.7'!H5</f>
        <v>3547500</v>
      </c>
      <c r="O47" s="207">
        <f t="shared" si="3"/>
        <v>2.6120201557629963E-3</v>
      </c>
      <c r="P47" s="4">
        <f>'1.7'!I5</f>
        <v>7095000</v>
      </c>
      <c r="Q47" s="204">
        <f t="shared" si="4"/>
        <v>2.851465474742374E-3</v>
      </c>
    </row>
    <row r="48" spans="1:18" ht="15" outlineLevel="1" x14ac:dyDescent="0.25">
      <c r="A48" s="1" t="s">
        <v>79</v>
      </c>
      <c r="D48" t="s">
        <v>51</v>
      </c>
      <c r="I48" s="108"/>
      <c r="J48" s="4">
        <f>'1.7'!F6</f>
        <v>667000</v>
      </c>
      <c r="K48" s="207">
        <f t="shared" si="0"/>
        <v>6.5032758804647907E-3</v>
      </c>
      <c r="L48" s="4">
        <f>'1.7'!G6</f>
        <v>767200</v>
      </c>
      <c r="M48" s="207">
        <f t="shared" si="2"/>
        <v>2.0657554170351498E-3</v>
      </c>
      <c r="N48" s="4">
        <f>'1.7'!H6</f>
        <v>1534000</v>
      </c>
      <c r="O48" s="207">
        <f t="shared" si="3"/>
        <v>1.1294824295815184E-3</v>
      </c>
      <c r="P48" s="4">
        <f>'1.7'!I6</f>
        <v>2301600</v>
      </c>
      <c r="Q48" s="204">
        <f t="shared" si="4"/>
        <v>9.2500816584454519E-4</v>
      </c>
    </row>
    <row r="49" spans="1:19" ht="15" outlineLevel="1" x14ac:dyDescent="0.25">
      <c r="A49" s="1" t="s">
        <v>80</v>
      </c>
      <c r="D49" t="s">
        <v>75</v>
      </c>
      <c r="I49" s="108"/>
      <c r="J49" s="4">
        <f>'1.7'!F7</f>
        <v>2805379.4541666671</v>
      </c>
      <c r="K49" s="207">
        <f t="shared" si="0"/>
        <v>2.7352558530485106E-2</v>
      </c>
      <c r="L49" s="4">
        <f>'1.7'!G7</f>
        <v>10650593.541666668</v>
      </c>
      <c r="M49" s="207">
        <f t="shared" si="2"/>
        <v>2.8677686787457638E-2</v>
      </c>
      <c r="N49" s="4">
        <f>'1.7'!H7</f>
        <v>45518211.708333328</v>
      </c>
      <c r="O49" s="207">
        <f t="shared" si="3"/>
        <v>3.3515006747414762E-2</v>
      </c>
      <c r="P49" s="4">
        <f>'1.7'!I7</f>
        <v>89102734.416666657</v>
      </c>
      <c r="Q49" s="204">
        <f t="shared" si="4"/>
        <v>3.5810200266985774E-2</v>
      </c>
    </row>
    <row r="50" spans="1:19" ht="15" outlineLevel="1" x14ac:dyDescent="0.25">
      <c r="A50" s="1" t="s">
        <v>81</v>
      </c>
      <c r="D50" t="s">
        <v>12</v>
      </c>
      <c r="I50" s="108"/>
      <c r="J50" s="4">
        <f>'1.7'!F8</f>
        <v>8791450.7592592575</v>
      </c>
      <c r="K50" s="207">
        <f t="shared" si="0"/>
        <v>8.5716986022465677E-2</v>
      </c>
      <c r="L50" s="4">
        <f>'1.7'!G8</f>
        <v>16220209.196759282</v>
      </c>
      <c r="M50" s="207">
        <f t="shared" si="2"/>
        <v>4.3674380883275341E-2</v>
      </c>
      <c r="N50" s="4">
        <f>'1.7'!H8</f>
        <v>21829273.502314836</v>
      </c>
      <c r="O50" s="207">
        <f t="shared" si="3"/>
        <v>1.6072868886176025E-2</v>
      </c>
      <c r="P50" s="4">
        <f>'1.7'!I8</f>
        <v>41174041.821759239</v>
      </c>
      <c r="Q50" s="204">
        <f t="shared" si="4"/>
        <v>1.654776021287457E-2</v>
      </c>
    </row>
    <row r="51" spans="1:19" ht="15" outlineLevel="1" x14ac:dyDescent="0.25">
      <c r="A51" s="1" t="s">
        <v>82</v>
      </c>
      <c r="D51" t="s">
        <v>52</v>
      </c>
      <c r="I51" s="108"/>
      <c r="J51" s="4">
        <f>'1.7'!F9</f>
        <v>467775</v>
      </c>
      <c r="K51" s="207">
        <f t="shared" si="0"/>
        <v>4.560824400276488E-3</v>
      </c>
      <c r="L51" s="4">
        <f>'1.7'!G9</f>
        <v>4677750</v>
      </c>
      <c r="M51" s="207">
        <f t="shared" si="2"/>
        <v>1.2595265122570609E-2</v>
      </c>
      <c r="N51" s="4">
        <f>'1.7'!H9</f>
        <v>23388750</v>
      </c>
      <c r="O51" s="207">
        <f t="shared" si="3"/>
        <v>1.7221109631600218E-2</v>
      </c>
      <c r="P51" s="4">
        <f>'1.7'!I9</f>
        <v>46777500</v>
      </c>
      <c r="Q51" s="204">
        <f t="shared" si="4"/>
        <v>1.8799778188127048E-2</v>
      </c>
    </row>
    <row r="52" spans="1:19" ht="15" outlineLevel="1" x14ac:dyDescent="0.25">
      <c r="A52" s="1" t="s">
        <v>83</v>
      </c>
      <c r="D52" t="s">
        <v>53</v>
      </c>
      <c r="I52" s="108"/>
      <c r="J52" s="4">
        <f>'1.7'!F10</f>
        <v>0</v>
      </c>
      <c r="K52" s="207">
        <f t="shared" si="0"/>
        <v>0</v>
      </c>
      <c r="L52" s="4">
        <f>'1.7'!G10</f>
        <v>0</v>
      </c>
      <c r="M52" s="207">
        <f t="shared" si="2"/>
        <v>0</v>
      </c>
      <c r="N52" s="4">
        <f>'1.7'!H10</f>
        <v>0</v>
      </c>
      <c r="O52" s="207">
        <f t="shared" si="3"/>
        <v>0</v>
      </c>
      <c r="P52" s="4">
        <f>'1.7'!I10</f>
        <v>0</v>
      </c>
      <c r="Q52" s="204">
        <f t="shared" si="4"/>
        <v>0</v>
      </c>
    </row>
    <row r="53" spans="1:19" s="144" customFormat="1" ht="15" x14ac:dyDescent="0.25">
      <c r="A53" s="293">
        <v>1.8</v>
      </c>
      <c r="C53" s="144" t="s">
        <v>493</v>
      </c>
      <c r="J53" s="200">
        <v>0</v>
      </c>
      <c r="K53" s="207">
        <f t="shared" si="0"/>
        <v>0</v>
      </c>
      <c r="L53" s="200">
        <v>0</v>
      </c>
      <c r="M53" s="207">
        <f t="shared" si="2"/>
        <v>0</v>
      </c>
      <c r="N53" s="200">
        <v>0</v>
      </c>
      <c r="O53" s="207">
        <f t="shared" si="3"/>
        <v>0</v>
      </c>
      <c r="P53" s="200">
        <v>0</v>
      </c>
      <c r="Q53" s="208">
        <f t="shared" si="4"/>
        <v>0</v>
      </c>
    </row>
    <row r="54" spans="1:19" s="147" customFormat="1" ht="15" x14ac:dyDescent="0.25">
      <c r="A54" s="211" t="s">
        <v>564</v>
      </c>
      <c r="C54" s="147" t="s">
        <v>470</v>
      </c>
      <c r="J54" s="199">
        <f>10%*(J12+J18+J24+J30+J45+J46)</f>
        <v>8343669.0782223362</v>
      </c>
      <c r="K54" s="203">
        <f>J54/$J$56</f>
        <v>8.1351097257845895E-2</v>
      </c>
      <c r="L54" s="199">
        <f>10%*(L12+L18+L24+L30+L45+L46)</f>
        <v>31737970.108552456</v>
      </c>
      <c r="M54" s="203">
        <f>L54/$L$56</f>
        <v>8.545735620104522E-2</v>
      </c>
      <c r="N54" s="199">
        <f>10%*(N12+N18+N24+N30+N45+N46)</f>
        <v>119586088.43687041</v>
      </c>
      <c r="O54" s="203">
        <f>N54/$N$56</f>
        <v>8.8051098899495903E-2</v>
      </c>
      <c r="P54" s="199">
        <f>10%*(P12+P18+P24+P30+P45+P46)</f>
        <v>221749031.58437321</v>
      </c>
      <c r="Q54" s="209">
        <f>P54/$P$56</f>
        <v>8.9120466190330719E-2</v>
      </c>
    </row>
    <row r="55" spans="1:19" s="118" customFormat="1" ht="15" outlineLevel="1" x14ac:dyDescent="0.25">
      <c r="A55" s="84"/>
      <c r="I55" s="108"/>
      <c r="K55" s="107"/>
      <c r="M55" s="107"/>
      <c r="O55" s="107"/>
      <c r="Q55" s="108"/>
    </row>
    <row r="56" spans="1:19" s="118" customFormat="1" ht="15" outlineLevel="1" x14ac:dyDescent="0.25">
      <c r="A56" s="279" t="s">
        <v>563</v>
      </c>
      <c r="B56" s="280"/>
      <c r="C56" s="280"/>
      <c r="D56" s="280"/>
      <c r="E56" s="280"/>
      <c r="F56" s="280"/>
      <c r="G56" s="280"/>
      <c r="H56" s="280"/>
      <c r="I56" s="284">
        <f>I30+I24</f>
        <v>2362.8565408163263</v>
      </c>
      <c r="J56" s="295">
        <f>J46+J30+J24+J4+J45+J12+J18+J54</f>
        <v>102563694.39955688</v>
      </c>
      <c r="K56" s="285"/>
      <c r="L56" s="295">
        <f>L46+L30+L24+L4+L45+L12+L18+L54</f>
        <v>371389562.22664273</v>
      </c>
      <c r="M56" s="285"/>
      <c r="N56" s="295">
        <f>N46+N30+N24+N4+N45+N12+N18+N54</f>
        <v>1358144190.4929485</v>
      </c>
      <c r="O56" s="285"/>
      <c r="P56" s="295">
        <f>P46+P30+P24+P4+P45+P12+P18+P54</f>
        <v>2488194250.5865421</v>
      </c>
      <c r="Q56" s="145"/>
    </row>
    <row r="57" spans="1:19" s="118" customFormat="1" ht="15" outlineLevel="1" x14ac:dyDescent="0.25">
      <c r="A57" s="84"/>
      <c r="I57" s="108"/>
      <c r="J57" s="4"/>
      <c r="K57" s="200"/>
      <c r="L57" s="4"/>
      <c r="M57" s="200"/>
      <c r="N57" s="4"/>
      <c r="O57" s="200"/>
      <c r="P57" s="4"/>
      <c r="Q57" s="108"/>
    </row>
    <row r="58" spans="1:19" s="106" customFormat="1" ht="15" x14ac:dyDescent="0.25">
      <c r="A58" s="119">
        <v>2</v>
      </c>
      <c r="B58" s="106" t="s">
        <v>60</v>
      </c>
      <c r="I58" s="147"/>
      <c r="J58" s="117">
        <f>SUM(J59:J64)</f>
        <v>4323381.186305929</v>
      </c>
      <c r="K58" s="209">
        <f>J58/$J$56</f>
        <v>4.2153134319278265E-2</v>
      </c>
      <c r="L58" s="117">
        <f t="shared" ref="L58:P58" si="9">SUM(L59:L64)</f>
        <v>14600893.463493738</v>
      </c>
      <c r="M58" s="209">
        <f>L58/$L$56</f>
        <v>3.9314226754125776E-2</v>
      </c>
      <c r="N58" s="117">
        <f t="shared" si="9"/>
        <v>42200140.487813033</v>
      </c>
      <c r="O58" s="209">
        <f>N58/$N$56</f>
        <v>3.1071914737194568E-2</v>
      </c>
      <c r="P58" s="117">
        <f t="shared" si="9"/>
        <v>68140683.259958863</v>
      </c>
      <c r="Q58" s="209">
        <f>P58/$P$56</f>
        <v>2.7385596298961007E-2</v>
      </c>
    </row>
    <row r="59" spans="1:19" ht="15" outlineLevel="1" x14ac:dyDescent="0.25">
      <c r="A59" s="1">
        <v>2.1</v>
      </c>
      <c r="C59" t="s">
        <v>54</v>
      </c>
      <c r="I59" s="108"/>
      <c r="J59" s="4">
        <f>'2.1'!E4</f>
        <v>1668733.8156444675</v>
      </c>
      <c r="K59" s="208">
        <f t="shared" ref="K59:K64" si="10">J59/$J$56</f>
        <v>1.6270219451569184E-2</v>
      </c>
      <c r="L59" s="4">
        <f>'2.1'!F4</f>
        <v>6347594.0217104899</v>
      </c>
      <c r="M59" s="208">
        <f t="shared" ref="M59:M64" si="11">L59/$L$56</f>
        <v>1.7091471240209041E-2</v>
      </c>
      <c r="N59" s="4">
        <f>'2.1'!G4</f>
        <v>11958608.843687041</v>
      </c>
      <c r="O59" s="208">
        <f t="shared" ref="O59:O64" si="12">N59/$N$56</f>
        <v>8.8051098899495899E-3</v>
      </c>
      <c r="P59" s="4">
        <f>'2.1'!H4</f>
        <v>11087451.57921866</v>
      </c>
      <c r="Q59" s="204">
        <f t="shared" ref="Q59:Q64" si="13">P59/$P$56</f>
        <v>4.4560233095165356E-3</v>
      </c>
    </row>
    <row r="60" spans="1:19" ht="15" outlineLevel="1" x14ac:dyDescent="0.25">
      <c r="A60" s="1">
        <v>2.2000000000000002</v>
      </c>
      <c r="C60" t="s">
        <v>55</v>
      </c>
      <c r="I60" s="108"/>
      <c r="J60" s="363">
        <f>'2.2'!E4</f>
        <v>1478750</v>
      </c>
      <c r="K60" s="208">
        <f t="shared" si="10"/>
        <v>1.4417869877417257E-2</v>
      </c>
      <c r="L60" s="363">
        <f>'2.2'!F4</f>
        <v>1972900</v>
      </c>
      <c r="M60" s="208">
        <f t="shared" si="11"/>
        <v>5.3122117599956288E-3</v>
      </c>
      <c r="N60" s="363">
        <f>'2.2'!G4</f>
        <v>2036150</v>
      </c>
      <c r="O60" s="208">
        <f t="shared" si="12"/>
        <v>1.4992148950406835E-3</v>
      </c>
      <c r="P60" s="363">
        <f>'2.2'!H4</f>
        <v>2036150</v>
      </c>
      <c r="Q60" s="204">
        <f t="shared" si="13"/>
        <v>8.1832437299459966E-4</v>
      </c>
      <c r="R60" s="4"/>
      <c r="S60" s="4"/>
    </row>
    <row r="61" spans="1:19" ht="15" outlineLevel="1" x14ac:dyDescent="0.25">
      <c r="A61" s="1">
        <v>2.2999999999999998</v>
      </c>
      <c r="C61" t="s">
        <v>56</v>
      </c>
      <c r="I61" s="108"/>
      <c r="J61" s="4">
        <f>'2.3'!E9</f>
        <v>114995.40000000002</v>
      </c>
      <c r="K61" s="208">
        <f t="shared" si="10"/>
        <v>1.1212096119706161E-3</v>
      </c>
      <c r="L61" s="4">
        <f>'2.3'!F9</f>
        <v>1149954.0000000002</v>
      </c>
      <c r="M61" s="208">
        <f t="shared" si="11"/>
        <v>3.0963551940057857E-3</v>
      </c>
      <c r="N61" s="4">
        <f>'2.3'!G9</f>
        <v>5749770.0000000009</v>
      </c>
      <c r="O61" s="208">
        <f t="shared" si="12"/>
        <v>4.2335490150814392E-3</v>
      </c>
      <c r="P61" s="4">
        <f>'2.3'!H9</f>
        <v>11499540.000000002</v>
      </c>
      <c r="Q61" s="204">
        <f t="shared" si="13"/>
        <v>4.6216407731386787E-3</v>
      </c>
      <c r="R61" s="16"/>
      <c r="S61" s="16"/>
    </row>
    <row r="62" spans="1:19" ht="15" outlineLevel="1" x14ac:dyDescent="0.25">
      <c r="A62" s="1">
        <v>2.4</v>
      </c>
      <c r="C62" t="s">
        <v>57</v>
      </c>
      <c r="I62" s="108"/>
      <c r="J62" s="4">
        <f>'2.4'!E4</f>
        <v>312128.64000000001</v>
      </c>
      <c r="K62" s="208">
        <f t="shared" si="10"/>
        <v>3.0432663509959187E-3</v>
      </c>
      <c r="L62" s="4">
        <f>'2.4'!F4</f>
        <v>373181.58</v>
      </c>
      <c r="M62" s="208">
        <f t="shared" si="11"/>
        <v>1.0048251699983526E-3</v>
      </c>
      <c r="N62" s="4">
        <f>'2.4'!G4</f>
        <v>1003520.07</v>
      </c>
      <c r="O62" s="208">
        <f t="shared" si="12"/>
        <v>7.3889066935946236E-4</v>
      </c>
      <c r="P62" s="4">
        <f>'2.4'!H4</f>
        <v>1773726.39</v>
      </c>
      <c r="Q62" s="204">
        <f t="shared" si="13"/>
        <v>7.1285687987659291E-4</v>
      </c>
    </row>
    <row r="63" spans="1:19" ht="15" outlineLevel="1" x14ac:dyDescent="0.25">
      <c r="A63" s="2">
        <v>2.5</v>
      </c>
      <c r="C63" t="s">
        <v>58</v>
      </c>
      <c r="I63" s="108"/>
      <c r="J63" s="4">
        <f>'2.5'!E5</f>
        <v>731279.72399479512</v>
      </c>
      <c r="K63" s="208">
        <f t="shared" si="10"/>
        <v>7.1300056835506753E-3</v>
      </c>
      <c r="L63" s="4">
        <f>'2.5'!F5</f>
        <v>4582327.795116581</v>
      </c>
      <c r="M63" s="208">
        <f>L63/$L$56</f>
        <v>1.2338332202023997E-2</v>
      </c>
      <c r="N63" s="4">
        <f>'2.5'!G5</f>
        <v>20577411.240792658</v>
      </c>
      <c r="O63" s="208">
        <f t="shared" si="12"/>
        <v>1.5151124147815213E-2</v>
      </c>
      <c r="P63" s="4">
        <f>'2.5'!H5</f>
        <v>39994454.624073528</v>
      </c>
      <c r="Q63" s="204">
        <f t="shared" si="13"/>
        <v>1.6073686616165771E-2</v>
      </c>
    </row>
    <row r="64" spans="1:19" ht="15" outlineLevel="1" x14ac:dyDescent="0.25">
      <c r="A64" s="1">
        <v>2.6</v>
      </c>
      <c r="C64" t="s">
        <v>59</v>
      </c>
      <c r="I64" s="108"/>
      <c r="J64" s="4">
        <f>'2.6'!E4</f>
        <v>17493.606666666667</v>
      </c>
      <c r="K64" s="208">
        <f t="shared" si="10"/>
        <v>1.7056334377461979E-4</v>
      </c>
      <c r="L64" s="4">
        <f>'2.6'!F4</f>
        <v>174936.06666666665</v>
      </c>
      <c r="M64" s="208">
        <f t="shared" si="11"/>
        <v>4.7103118789297278E-4</v>
      </c>
      <c r="N64" s="4">
        <f>'2.6'!G4</f>
        <v>874680.33333333337</v>
      </c>
      <c r="O64" s="208">
        <f t="shared" si="12"/>
        <v>6.4402611994817847E-4</v>
      </c>
      <c r="P64" s="4">
        <f>'2.6'!H4</f>
        <v>1749360.6666666667</v>
      </c>
      <c r="Q64" s="204">
        <f t="shared" si="13"/>
        <v>7.030643472688235E-4</v>
      </c>
      <c r="S64" s="17"/>
    </row>
    <row r="65" spans="1:17" x14ac:dyDescent="0.3">
      <c r="I65" s="108"/>
      <c r="J65" s="108"/>
      <c r="K65" s="144"/>
      <c r="L65" s="108"/>
      <c r="M65" s="144"/>
      <c r="N65" s="108"/>
      <c r="O65" s="144"/>
      <c r="P65" s="108"/>
      <c r="Q65" s="108"/>
    </row>
    <row r="66" spans="1:17" s="106" customFormat="1" x14ac:dyDescent="0.3">
      <c r="A66" s="279" t="s">
        <v>657</v>
      </c>
      <c r="B66" s="280"/>
      <c r="C66" s="280"/>
      <c r="D66" s="280"/>
      <c r="E66" s="280"/>
      <c r="F66" s="280"/>
      <c r="G66" s="280"/>
      <c r="H66" s="280"/>
      <c r="I66" s="280"/>
      <c r="J66" s="294">
        <f>SUM(J59:J64)</f>
        <v>4323381.186305929</v>
      </c>
      <c r="K66" s="282">
        <f t="shared" ref="K66:Q66" si="14">SUM(K59:K64)</f>
        <v>4.2153134319278265E-2</v>
      </c>
      <c r="L66" s="294">
        <f t="shared" si="14"/>
        <v>14600893.463493738</v>
      </c>
      <c r="M66" s="282">
        <f t="shared" si="14"/>
        <v>3.9314226754125783E-2</v>
      </c>
      <c r="N66" s="294">
        <f t="shared" si="14"/>
        <v>42200140.487813033</v>
      </c>
      <c r="O66" s="282">
        <f t="shared" si="14"/>
        <v>3.1071914737194568E-2</v>
      </c>
      <c r="P66" s="294">
        <f t="shared" si="14"/>
        <v>68140683.259958863</v>
      </c>
      <c r="Q66" s="282">
        <f t="shared" si="14"/>
        <v>2.7385596298961003E-2</v>
      </c>
    </row>
    <row r="67" spans="1:17" x14ac:dyDescent="0.3">
      <c r="J67" s="4"/>
      <c r="K67" s="200"/>
      <c r="L67" s="4"/>
      <c r="M67" s="200"/>
      <c r="N67" s="4"/>
      <c r="O67" s="200"/>
      <c r="P67" s="4"/>
    </row>
    <row r="68" spans="1:17" x14ac:dyDescent="0.3">
      <c r="J68" s="6"/>
      <c r="K68" s="144"/>
      <c r="L68" s="6"/>
      <c r="M68" s="144"/>
      <c r="N68" s="6"/>
      <c r="O68" s="144"/>
      <c r="P68" s="6"/>
    </row>
  </sheetData>
  <dataConsolidate/>
  <mergeCells count="1">
    <mergeCell ref="J1:P1"/>
  </mergeCells>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80"/>
  <sheetViews>
    <sheetView zoomScale="70" zoomScaleNormal="70" workbookViewId="0">
      <selection activeCell="C44" sqref="C44"/>
    </sheetView>
  </sheetViews>
  <sheetFormatPr defaultRowHeight="14.4" x14ac:dyDescent="0.3"/>
  <cols>
    <col min="1" max="1" width="8.6640625" customWidth="1"/>
    <col min="2" max="2" width="7.88671875" customWidth="1"/>
    <col min="3" max="3" width="35.33203125" customWidth="1"/>
    <col min="4" max="4" width="13.109375" customWidth="1"/>
    <col min="5" max="5" width="19.5546875" customWidth="1"/>
    <col min="6" max="6" width="17.5546875" customWidth="1"/>
    <col min="7" max="7" width="16.44140625" bestFit="1" customWidth="1"/>
    <col min="8" max="8" width="18.109375" bestFit="1" customWidth="1"/>
    <col min="9" max="9" width="17.6640625" bestFit="1" customWidth="1"/>
    <col min="10" max="10" width="16.33203125" customWidth="1"/>
    <col min="11" max="11" width="15" customWidth="1"/>
    <col min="12" max="12" width="13.88671875" customWidth="1"/>
    <col min="13" max="13" width="17.33203125" customWidth="1"/>
    <col min="14" max="14" width="15.109375" customWidth="1"/>
    <col min="15" max="15" width="14.44140625" customWidth="1"/>
    <col min="17" max="17" width="11.109375" customWidth="1"/>
    <col min="18" max="18" width="12.33203125" customWidth="1"/>
    <col min="19" max="19" width="10.5546875" customWidth="1"/>
    <col min="20" max="20" width="12.44140625" bestFit="1" customWidth="1"/>
    <col min="21" max="21" width="12" bestFit="1" customWidth="1"/>
  </cols>
  <sheetData>
    <row r="1" spans="1:15" s="17" customFormat="1" ht="15" x14ac:dyDescent="0.25">
      <c r="A1" s="18"/>
      <c r="C1" s="83"/>
      <c r="D1" s="83"/>
      <c r="E1" s="83"/>
    </row>
    <row r="2" spans="1:15" s="17" customFormat="1" ht="15" x14ac:dyDescent="0.25">
      <c r="A2" s="18"/>
      <c r="C2" s="83"/>
      <c r="D2" s="83"/>
      <c r="E2" s="83"/>
    </row>
    <row r="3" spans="1:15" ht="15" x14ac:dyDescent="0.25">
      <c r="A3" s="393" t="s">
        <v>253</v>
      </c>
      <c r="C3" s="83"/>
      <c r="D3" s="83"/>
      <c r="E3" s="83"/>
    </row>
    <row r="4" spans="1:15" s="83" customFormat="1" ht="15" x14ac:dyDescent="0.25">
      <c r="B4" s="84"/>
      <c r="E4" s="396" t="s">
        <v>155</v>
      </c>
      <c r="F4" s="396" t="s">
        <v>247</v>
      </c>
      <c r="G4" s="396" t="s">
        <v>249</v>
      </c>
      <c r="H4" s="396" t="s">
        <v>248</v>
      </c>
      <c r="L4" s="88"/>
      <c r="M4" s="88"/>
      <c r="N4" s="88"/>
      <c r="O4" s="88"/>
    </row>
    <row r="5" spans="1:15" s="83" customFormat="1" ht="15" x14ac:dyDescent="0.25">
      <c r="B5" s="84" t="s">
        <v>241</v>
      </c>
      <c r="C5" s="83" t="s">
        <v>3</v>
      </c>
      <c r="E5" s="367">
        <f>F19</f>
        <v>252500</v>
      </c>
      <c r="F5" s="367">
        <f>G19</f>
        <v>370000</v>
      </c>
      <c r="G5" s="367">
        <f>H19</f>
        <v>390000</v>
      </c>
      <c r="H5" s="367">
        <f>H19</f>
        <v>390000</v>
      </c>
    </row>
    <row r="6" spans="1:15" s="83" customFormat="1" ht="15" x14ac:dyDescent="0.25">
      <c r="B6" s="84" t="s">
        <v>242</v>
      </c>
      <c r="C6" s="83" t="s">
        <v>5</v>
      </c>
      <c r="E6" s="367">
        <f>F34</f>
        <v>1780250</v>
      </c>
      <c r="F6" s="367">
        <f>G34</f>
        <v>3585250</v>
      </c>
      <c r="G6" s="367">
        <f>H34</f>
        <v>4912250</v>
      </c>
      <c r="H6" s="367">
        <f>H34</f>
        <v>4912250</v>
      </c>
    </row>
    <row r="7" spans="1:15" s="83" customFormat="1" ht="15" x14ac:dyDescent="0.25">
      <c r="B7" s="84" t="s">
        <v>243</v>
      </c>
      <c r="C7" s="83" t="s">
        <v>7</v>
      </c>
      <c r="E7" s="367">
        <f>F46</f>
        <v>1478750</v>
      </c>
      <c r="F7" s="367">
        <f>G46</f>
        <v>3095250</v>
      </c>
      <c r="G7" s="367">
        <f>H46</f>
        <v>3552750</v>
      </c>
      <c r="H7" s="367">
        <f>H46</f>
        <v>3552750</v>
      </c>
    </row>
    <row r="8" spans="1:15" ht="15" x14ac:dyDescent="0.25">
      <c r="A8" s="18"/>
      <c r="B8" s="84" t="s">
        <v>244</v>
      </c>
      <c r="C8" s="83" t="s">
        <v>8</v>
      </c>
      <c r="D8" s="17"/>
      <c r="E8" s="367">
        <f>F52</f>
        <v>1100000</v>
      </c>
      <c r="F8" s="367">
        <f>E8+G52</f>
        <v>1700000</v>
      </c>
      <c r="G8" s="367">
        <f>E8+H52</f>
        <v>1925000</v>
      </c>
      <c r="H8" s="367">
        <f>E8+H52</f>
        <v>1925000</v>
      </c>
    </row>
    <row r="9" spans="1:15" s="83" customFormat="1" ht="15" x14ac:dyDescent="0.25">
      <c r="A9" s="88"/>
      <c r="B9" s="84" t="s">
        <v>4</v>
      </c>
      <c r="C9" s="83" t="s">
        <v>245</v>
      </c>
      <c r="E9" s="415">
        <f>F59</f>
        <v>2000000</v>
      </c>
      <c r="F9" s="415">
        <f t="shared" ref="F9:H9" si="0">G59</f>
        <v>4000000</v>
      </c>
      <c r="G9" s="415">
        <f t="shared" si="0"/>
        <v>8000000</v>
      </c>
      <c r="H9" s="415">
        <f t="shared" si="0"/>
        <v>16000000</v>
      </c>
    </row>
    <row r="10" spans="1:15" s="83" customFormat="1" ht="15" x14ac:dyDescent="0.25">
      <c r="A10" s="88"/>
      <c r="B10" s="84" t="s">
        <v>6</v>
      </c>
      <c r="C10" s="83" t="s">
        <v>485</v>
      </c>
      <c r="E10" s="415">
        <f>F65</f>
        <v>4171834.5391111681</v>
      </c>
      <c r="F10" s="415">
        <f t="shared" ref="F10:H10" si="1">G65</f>
        <v>9521391.0325657371</v>
      </c>
      <c r="G10" s="415">
        <f t="shared" si="1"/>
        <v>23917217.687374081</v>
      </c>
      <c r="H10" s="415">
        <f t="shared" si="1"/>
        <v>22174903.158437319</v>
      </c>
    </row>
    <row r="11" spans="1:15" s="83" customFormat="1" ht="15" x14ac:dyDescent="0.25">
      <c r="A11" s="88"/>
      <c r="B11" s="84"/>
    </row>
    <row r="12" spans="1:15" s="83" customFormat="1" ht="15" x14ac:dyDescent="0.25">
      <c r="A12" s="88"/>
      <c r="B12" s="84"/>
    </row>
    <row r="13" spans="1:15" s="106" customFormat="1" ht="15" x14ac:dyDescent="0.25">
      <c r="A13" s="106" t="s">
        <v>241</v>
      </c>
      <c r="B13" s="119" t="s">
        <v>265</v>
      </c>
      <c r="F13" s="416" t="s">
        <v>214</v>
      </c>
      <c r="G13" s="416" t="s">
        <v>175</v>
      </c>
      <c r="H13" s="416" t="s">
        <v>681</v>
      </c>
    </row>
    <row r="14" spans="1:15" s="83" customFormat="1" ht="15" x14ac:dyDescent="0.25">
      <c r="A14" s="88"/>
      <c r="B14" s="99"/>
      <c r="C14" s="101" t="s">
        <v>266</v>
      </c>
      <c r="D14" s="94"/>
      <c r="E14" s="94"/>
      <c r="F14" s="417">
        <v>65000</v>
      </c>
      <c r="G14" s="417">
        <v>65000</v>
      </c>
      <c r="H14" s="417">
        <v>65000</v>
      </c>
    </row>
    <row r="15" spans="1:15" s="83" customFormat="1" ht="15" x14ac:dyDescent="0.25">
      <c r="A15" s="88"/>
      <c r="B15" s="99"/>
      <c r="C15" s="102" t="s">
        <v>267</v>
      </c>
      <c r="D15" s="94"/>
      <c r="E15" s="94"/>
      <c r="F15" s="417">
        <v>37500</v>
      </c>
      <c r="G15" s="417">
        <v>50000</v>
      </c>
      <c r="H15" s="417">
        <v>55000</v>
      </c>
    </row>
    <row r="16" spans="1:15" s="83" customFormat="1" ht="15" x14ac:dyDescent="0.25">
      <c r="A16" s="88"/>
      <c r="B16" s="99"/>
      <c r="C16" s="102" t="s">
        <v>268</v>
      </c>
      <c r="D16" s="94"/>
      <c r="E16" s="94"/>
      <c r="F16" s="417">
        <v>65000</v>
      </c>
      <c r="G16" s="417">
        <v>130000</v>
      </c>
      <c r="H16" s="417">
        <v>145000</v>
      </c>
    </row>
    <row r="17" spans="1:8" s="83" customFormat="1" ht="15" x14ac:dyDescent="0.25">
      <c r="A17" s="88"/>
      <c r="B17" s="99"/>
      <c r="C17" s="102" t="s">
        <v>269</v>
      </c>
      <c r="D17" s="94"/>
      <c r="E17" s="94"/>
      <c r="F17" s="417">
        <v>85000</v>
      </c>
      <c r="G17" s="417">
        <v>125000</v>
      </c>
      <c r="H17" s="417">
        <v>125000</v>
      </c>
    </row>
    <row r="18" spans="1:8" s="118" customFormat="1" ht="15" x14ac:dyDescent="0.25">
      <c r="A18" s="106"/>
      <c r="B18" s="99"/>
      <c r="C18" s="102"/>
      <c r="D18" s="94"/>
      <c r="E18" s="94"/>
      <c r="F18" s="417"/>
      <c r="G18" s="417"/>
      <c r="H18" s="417"/>
    </row>
    <row r="19" spans="1:8" s="107" customFormat="1" ht="15" x14ac:dyDescent="0.25">
      <c r="B19" s="99"/>
      <c r="C19" s="219" t="s">
        <v>150</v>
      </c>
      <c r="D19" s="60"/>
      <c r="E19" s="60"/>
      <c r="F19" s="418">
        <v>252500</v>
      </c>
      <c r="G19" s="418">
        <v>370000</v>
      </c>
      <c r="H19" s="418">
        <v>390000</v>
      </c>
    </row>
    <row r="20" spans="1:8" s="118" customFormat="1" ht="15" x14ac:dyDescent="0.25">
      <c r="A20" s="106"/>
      <c r="B20" s="99"/>
      <c r="C20" s="101"/>
      <c r="D20" s="94"/>
      <c r="E20" s="94"/>
      <c r="F20" s="87"/>
      <c r="G20" s="161"/>
      <c r="H20" s="162"/>
    </row>
    <row r="21" spans="1:8" s="106" customFormat="1" ht="15" x14ac:dyDescent="0.25">
      <c r="A21" s="106" t="s">
        <v>242</v>
      </c>
      <c r="B21" s="359" t="s">
        <v>5</v>
      </c>
      <c r="C21" s="360"/>
      <c r="D21" s="74"/>
      <c r="E21" s="74"/>
      <c r="F21" s="416" t="s">
        <v>214</v>
      </c>
      <c r="G21" s="416" t="s">
        <v>175</v>
      </c>
      <c r="H21" s="416" t="s">
        <v>681</v>
      </c>
    </row>
    <row r="22" spans="1:8" s="83" customFormat="1" ht="15" x14ac:dyDescent="0.25">
      <c r="A22" s="88"/>
      <c r="B22" s="99"/>
      <c r="C22" s="102" t="s">
        <v>270</v>
      </c>
      <c r="D22" s="94"/>
      <c r="E22" s="94"/>
      <c r="F22" s="417">
        <v>0</v>
      </c>
      <c r="G22" s="417">
        <v>450000</v>
      </c>
      <c r="H22" s="417">
        <v>750000</v>
      </c>
    </row>
    <row r="23" spans="1:8" s="118" customFormat="1" ht="15" x14ac:dyDescent="0.25">
      <c r="A23" s="106"/>
      <c r="B23" s="99"/>
      <c r="C23" s="102" t="s">
        <v>496</v>
      </c>
      <c r="D23" s="94"/>
      <c r="E23" s="94"/>
      <c r="F23" s="417">
        <v>0</v>
      </c>
      <c r="G23" s="417">
        <v>140000</v>
      </c>
      <c r="H23" s="417">
        <v>140000</v>
      </c>
    </row>
    <row r="24" spans="1:8" s="83" customFormat="1" ht="15" x14ac:dyDescent="0.25">
      <c r="A24" s="88"/>
      <c r="B24" s="99"/>
      <c r="C24" s="102" t="s">
        <v>271</v>
      </c>
      <c r="D24" s="94"/>
      <c r="E24" s="94"/>
      <c r="F24" s="417">
        <v>416000</v>
      </c>
      <c r="G24" s="417">
        <v>896000</v>
      </c>
      <c r="H24" s="417">
        <v>1536000</v>
      </c>
    </row>
    <row r="25" spans="1:8" s="83" customFormat="1" ht="15" x14ac:dyDescent="0.25">
      <c r="A25" s="88"/>
      <c r="B25" s="99"/>
      <c r="C25" s="102" t="s">
        <v>272</v>
      </c>
      <c r="D25" s="94"/>
      <c r="E25" s="94"/>
      <c r="F25" s="417">
        <v>718250</v>
      </c>
      <c r="G25" s="417">
        <v>978250</v>
      </c>
      <c r="H25" s="417">
        <v>978250</v>
      </c>
    </row>
    <row r="26" spans="1:8" s="83" customFormat="1" ht="15" x14ac:dyDescent="0.25">
      <c r="A26" s="88"/>
      <c r="B26" s="99"/>
      <c r="C26" s="102" t="s">
        <v>273</v>
      </c>
      <c r="D26" s="94"/>
      <c r="E26" s="94"/>
      <c r="F26" s="417">
        <v>422500</v>
      </c>
      <c r="G26" s="417">
        <v>682500</v>
      </c>
      <c r="H26" s="417">
        <v>682500</v>
      </c>
    </row>
    <row r="27" spans="1:8" s="83" customFormat="1" ht="15" x14ac:dyDescent="0.25">
      <c r="A27" s="88"/>
      <c r="B27" s="99"/>
      <c r="C27" s="102" t="s">
        <v>274</v>
      </c>
      <c r="D27" s="94"/>
      <c r="E27" s="94"/>
      <c r="F27" s="417">
        <v>26000</v>
      </c>
      <c r="G27" s="417">
        <v>26000</v>
      </c>
      <c r="H27" s="417">
        <v>26000</v>
      </c>
    </row>
    <row r="28" spans="1:8" s="83" customFormat="1" ht="15" x14ac:dyDescent="0.25">
      <c r="A28" s="88"/>
      <c r="B28" s="99"/>
      <c r="C28" s="102" t="s">
        <v>275</v>
      </c>
      <c r="D28" s="94"/>
      <c r="E28" s="94"/>
      <c r="F28" s="417">
        <v>0</v>
      </c>
      <c r="G28" s="417">
        <v>0</v>
      </c>
      <c r="H28" s="417">
        <v>0</v>
      </c>
    </row>
    <row r="29" spans="1:8" s="83" customFormat="1" ht="15" x14ac:dyDescent="0.25">
      <c r="A29" s="88"/>
      <c r="B29" s="99"/>
      <c r="C29" s="102" t="s">
        <v>276</v>
      </c>
      <c r="D29" s="94"/>
      <c r="E29" s="94"/>
      <c r="F29" s="417">
        <v>22500</v>
      </c>
      <c r="G29" s="417">
        <v>97500</v>
      </c>
      <c r="H29" s="417">
        <v>172500</v>
      </c>
    </row>
    <row r="30" spans="1:8" s="83" customFormat="1" ht="15" x14ac:dyDescent="0.25">
      <c r="A30" s="88"/>
      <c r="B30" s="99"/>
      <c r="C30" s="102" t="s">
        <v>277</v>
      </c>
      <c r="D30" s="94"/>
      <c r="E30" s="94"/>
      <c r="F30" s="417">
        <v>105000</v>
      </c>
      <c r="G30" s="417">
        <v>170000</v>
      </c>
      <c r="H30" s="417">
        <v>456000</v>
      </c>
    </row>
    <row r="31" spans="1:8" s="83" customFormat="1" ht="15" x14ac:dyDescent="0.25">
      <c r="A31" s="88"/>
      <c r="B31" s="99"/>
      <c r="C31" s="102" t="s">
        <v>278</v>
      </c>
      <c r="D31" s="94"/>
      <c r="E31" s="94"/>
      <c r="F31" s="417">
        <v>20000</v>
      </c>
      <c r="G31" s="417">
        <v>20000</v>
      </c>
      <c r="H31" s="417">
        <v>46000</v>
      </c>
    </row>
    <row r="32" spans="1:8" s="83" customFormat="1" ht="15" x14ac:dyDescent="0.25">
      <c r="A32" s="88"/>
      <c r="B32" s="99"/>
      <c r="C32" s="102" t="s">
        <v>279</v>
      </c>
      <c r="D32" s="94"/>
      <c r="E32" s="94"/>
      <c r="F32" s="417">
        <v>50000</v>
      </c>
      <c r="G32" s="417">
        <v>125000</v>
      </c>
      <c r="H32" s="417">
        <v>125000</v>
      </c>
    </row>
    <row r="33" spans="1:8" s="118" customFormat="1" ht="15" x14ac:dyDescent="0.25">
      <c r="A33" s="106"/>
      <c r="B33" s="99"/>
      <c r="C33" s="102"/>
      <c r="D33" s="94"/>
      <c r="E33" s="94"/>
      <c r="F33" s="419"/>
      <c r="G33" s="419"/>
      <c r="H33" s="419"/>
    </row>
    <row r="34" spans="1:8" s="107" customFormat="1" ht="15" x14ac:dyDescent="0.25">
      <c r="B34" s="99"/>
      <c r="C34" s="219" t="s">
        <v>150</v>
      </c>
      <c r="D34" s="60"/>
      <c r="E34" s="60"/>
      <c r="F34" s="229">
        <v>1780250</v>
      </c>
      <c r="G34" s="420">
        <v>3585250</v>
      </c>
      <c r="H34" s="229">
        <v>4912250</v>
      </c>
    </row>
    <row r="35" spans="1:8" s="83" customFormat="1" ht="15" x14ac:dyDescent="0.25">
      <c r="A35" s="88"/>
      <c r="B35" s="99"/>
      <c r="C35" s="101"/>
      <c r="D35" s="94"/>
      <c r="E35" s="94"/>
      <c r="F35" s="97"/>
    </row>
    <row r="36" spans="1:8" s="83" customFormat="1" ht="15" x14ac:dyDescent="0.25">
      <c r="A36" s="88"/>
      <c r="B36" s="99"/>
      <c r="C36" s="101"/>
      <c r="D36" s="94"/>
      <c r="E36" s="94"/>
      <c r="F36" s="97"/>
      <c r="G36" s="94"/>
      <c r="H36" s="87"/>
    </row>
    <row r="37" spans="1:8" s="106" customFormat="1" ht="15" x14ac:dyDescent="0.25">
      <c r="A37" s="106" t="s">
        <v>243</v>
      </c>
      <c r="B37" s="359" t="s">
        <v>280</v>
      </c>
      <c r="C37" s="360"/>
      <c r="D37" s="74"/>
      <c r="E37" s="74"/>
      <c r="F37" s="416" t="s">
        <v>214</v>
      </c>
      <c r="G37" s="416" t="s">
        <v>175</v>
      </c>
      <c r="H37" s="416" t="s">
        <v>681</v>
      </c>
    </row>
    <row r="38" spans="1:8" s="83" customFormat="1" ht="15" x14ac:dyDescent="0.25">
      <c r="A38" s="88"/>
      <c r="B38" s="99"/>
      <c r="C38" s="102" t="s">
        <v>283</v>
      </c>
      <c r="D38" s="94"/>
      <c r="E38" s="94"/>
      <c r="F38" s="417">
        <v>552500</v>
      </c>
      <c r="G38" s="417">
        <v>783250</v>
      </c>
      <c r="H38" s="417">
        <v>962000</v>
      </c>
    </row>
    <row r="39" spans="1:8" s="83" customFormat="1" ht="15" x14ac:dyDescent="0.25">
      <c r="A39" s="88"/>
      <c r="B39" s="99"/>
      <c r="C39" s="102" t="s">
        <v>284</v>
      </c>
      <c r="D39" s="94"/>
      <c r="E39" s="94"/>
      <c r="F39" s="417">
        <v>308750</v>
      </c>
      <c r="G39" s="417">
        <v>539500</v>
      </c>
      <c r="H39" s="417">
        <v>718250</v>
      </c>
    </row>
    <row r="40" spans="1:8" s="83" customFormat="1" ht="15" x14ac:dyDescent="0.25">
      <c r="A40" s="88"/>
      <c r="B40" s="99"/>
      <c r="C40" s="102" t="s">
        <v>285</v>
      </c>
      <c r="D40" s="94"/>
      <c r="E40" s="94"/>
      <c r="F40" s="417">
        <v>560000</v>
      </c>
      <c r="G40" s="417">
        <v>960000</v>
      </c>
      <c r="H40" s="417">
        <v>1060000</v>
      </c>
    </row>
    <row r="41" spans="1:8" s="83" customFormat="1" ht="15" x14ac:dyDescent="0.25">
      <c r="A41" s="88"/>
      <c r="B41" s="99"/>
      <c r="C41" s="102" t="s">
        <v>286</v>
      </c>
      <c r="D41" s="94"/>
      <c r="E41" s="94"/>
      <c r="F41" s="417">
        <v>57500</v>
      </c>
      <c r="G41" s="417">
        <v>62500</v>
      </c>
      <c r="H41" s="417">
        <v>62500</v>
      </c>
    </row>
    <row r="42" spans="1:8" s="83" customFormat="1" ht="15" x14ac:dyDescent="0.25">
      <c r="A42" s="88"/>
      <c r="B42" s="99"/>
      <c r="C42" s="100" t="s">
        <v>288</v>
      </c>
      <c r="F42" s="417">
        <v>0</v>
      </c>
      <c r="G42" s="417">
        <v>0</v>
      </c>
      <c r="H42" s="417">
        <v>0</v>
      </c>
    </row>
    <row r="43" spans="1:8" s="83" customFormat="1" ht="15" x14ac:dyDescent="0.25">
      <c r="A43" s="88"/>
      <c r="B43" s="99"/>
      <c r="C43" s="100" t="s">
        <v>289</v>
      </c>
      <c r="F43" s="417">
        <v>0</v>
      </c>
      <c r="G43" s="417">
        <v>300000</v>
      </c>
      <c r="H43" s="417">
        <v>300000</v>
      </c>
    </row>
    <row r="44" spans="1:8" s="83" customFormat="1" ht="15" x14ac:dyDescent="0.25">
      <c r="A44" s="88"/>
      <c r="B44" s="84"/>
      <c r="C44" s="100" t="s">
        <v>290</v>
      </c>
      <c r="F44" s="417">
        <v>0</v>
      </c>
      <c r="G44" s="417">
        <v>450000</v>
      </c>
      <c r="H44" s="417">
        <v>450000</v>
      </c>
    </row>
    <row r="45" spans="1:8" s="118" customFormat="1" ht="15" x14ac:dyDescent="0.25">
      <c r="A45" s="106"/>
      <c r="B45" s="84"/>
      <c r="C45" s="100"/>
      <c r="F45" s="415"/>
      <c r="G45" s="417"/>
      <c r="H45" s="417"/>
    </row>
    <row r="46" spans="1:8" s="215" customFormat="1" ht="15" x14ac:dyDescent="0.25">
      <c r="B46" s="216"/>
      <c r="C46" s="377" t="s">
        <v>150</v>
      </c>
      <c r="D46" s="405"/>
      <c r="E46" s="405"/>
      <c r="F46" s="229">
        <v>1478750</v>
      </c>
      <c r="G46" s="229">
        <v>3095250</v>
      </c>
      <c r="H46" s="229">
        <v>3552750</v>
      </c>
    </row>
    <row r="47" spans="1:8" s="118" customFormat="1" ht="15" x14ac:dyDescent="0.25">
      <c r="A47" s="106"/>
      <c r="B47" s="84"/>
      <c r="G47" s="87"/>
      <c r="H47" s="87"/>
    </row>
    <row r="48" spans="1:8" s="106" customFormat="1" ht="15" x14ac:dyDescent="0.25">
      <c r="A48" s="106" t="s">
        <v>244</v>
      </c>
      <c r="B48" s="359" t="s">
        <v>287</v>
      </c>
      <c r="C48" s="74"/>
      <c r="D48" s="74"/>
      <c r="E48" s="74"/>
      <c r="F48" s="416" t="s">
        <v>214</v>
      </c>
      <c r="G48" s="416" t="s">
        <v>175</v>
      </c>
      <c r="H48" s="416" t="s">
        <v>681</v>
      </c>
    </row>
    <row r="49" spans="1:13" s="83" customFormat="1" ht="15" x14ac:dyDescent="0.25">
      <c r="A49" s="88"/>
      <c r="B49" s="99"/>
      <c r="C49" s="103" t="s">
        <v>281</v>
      </c>
      <c r="D49" s="94"/>
      <c r="E49" s="94"/>
      <c r="F49" s="417">
        <v>800000</v>
      </c>
      <c r="G49" s="417">
        <v>300000</v>
      </c>
      <c r="H49" s="417">
        <v>525000</v>
      </c>
      <c r="I49" s="90"/>
    </row>
    <row r="50" spans="1:13" s="83" customFormat="1" ht="15" x14ac:dyDescent="0.25">
      <c r="A50" s="88"/>
      <c r="B50" s="99"/>
      <c r="C50" s="210" t="s">
        <v>282</v>
      </c>
      <c r="D50" s="94"/>
      <c r="E50" s="94"/>
      <c r="F50" s="417">
        <v>300000</v>
      </c>
      <c r="G50" s="417">
        <v>300000</v>
      </c>
      <c r="H50" s="417">
        <v>300000</v>
      </c>
      <c r="I50" s="90"/>
    </row>
    <row r="51" spans="1:13" s="118" customFormat="1" ht="15" x14ac:dyDescent="0.25">
      <c r="A51" s="106"/>
      <c r="B51" s="99"/>
      <c r="C51" s="210"/>
      <c r="D51" s="94"/>
      <c r="E51" s="94"/>
      <c r="F51" s="417"/>
      <c r="G51" s="417"/>
      <c r="H51" s="417"/>
      <c r="I51" s="90"/>
    </row>
    <row r="52" spans="1:13" s="107" customFormat="1" ht="15" x14ac:dyDescent="0.25">
      <c r="B52" s="99"/>
      <c r="C52" s="217" t="s">
        <v>150</v>
      </c>
      <c r="D52" s="60"/>
      <c r="E52" s="60"/>
      <c r="F52" s="229">
        <v>1100000</v>
      </c>
      <c r="G52" s="229">
        <v>600000</v>
      </c>
      <c r="H52" s="229">
        <v>825000</v>
      </c>
      <c r="I52" s="90"/>
    </row>
    <row r="53" spans="1:13" s="97" customFormat="1" ht="15" x14ac:dyDescent="0.25">
      <c r="A53" s="88"/>
      <c r="B53" s="99"/>
      <c r="C53" s="103"/>
      <c r="D53" s="94"/>
      <c r="E53" s="94"/>
      <c r="F53" s="98"/>
      <c r="G53" s="98"/>
    </row>
    <row r="55" spans="1:13" ht="15" x14ac:dyDescent="0.25">
      <c r="A55" s="88" t="s">
        <v>4</v>
      </c>
      <c r="B55" s="18" t="s">
        <v>245</v>
      </c>
      <c r="F55" s="110" t="s">
        <v>155</v>
      </c>
      <c r="G55" s="110" t="s">
        <v>247</v>
      </c>
      <c r="H55" s="110" t="s">
        <v>249</v>
      </c>
      <c r="I55" s="110" t="s">
        <v>248</v>
      </c>
    </row>
    <row r="56" spans="1:13" ht="15" x14ac:dyDescent="0.25">
      <c r="C56" t="s">
        <v>498</v>
      </c>
      <c r="F56" s="415">
        <v>1000000</v>
      </c>
      <c r="G56" s="415">
        <f>F56*2</f>
        <v>2000000</v>
      </c>
      <c r="H56" s="415">
        <f t="shared" ref="H56:I56" si="2">G56*2</f>
        <v>4000000</v>
      </c>
      <c r="I56" s="415">
        <f t="shared" si="2"/>
        <v>8000000</v>
      </c>
    </row>
    <row r="57" spans="1:13" ht="15" x14ac:dyDescent="0.25">
      <c r="C57" t="s">
        <v>497</v>
      </c>
      <c r="F57" s="415">
        <f>1000000</f>
        <v>1000000</v>
      </c>
      <c r="G57" s="415">
        <f>F57*2</f>
        <v>2000000</v>
      </c>
      <c r="H57" s="415">
        <f t="shared" ref="H57:I57" si="3">G57*2</f>
        <v>4000000</v>
      </c>
      <c r="I57" s="415">
        <f t="shared" si="3"/>
        <v>8000000</v>
      </c>
    </row>
    <row r="58" spans="1:13" s="118" customFormat="1" ht="15" x14ac:dyDescent="0.25">
      <c r="F58" s="415"/>
      <c r="G58" s="415"/>
      <c r="H58" s="415"/>
      <c r="I58" s="415"/>
    </row>
    <row r="59" spans="1:13" ht="15" x14ac:dyDescent="0.25">
      <c r="C59" s="27" t="s">
        <v>150</v>
      </c>
      <c r="D59" s="27"/>
      <c r="E59" s="27"/>
      <c r="F59" s="229">
        <f>SUM(F56:F57)</f>
        <v>2000000</v>
      </c>
      <c r="G59" s="229">
        <f t="shared" ref="G59:I59" si="4">SUM(G56:G57)</f>
        <v>4000000</v>
      </c>
      <c r="H59" s="229">
        <f t="shared" si="4"/>
        <v>8000000</v>
      </c>
      <c r="I59" s="229">
        <f t="shared" si="4"/>
        <v>16000000</v>
      </c>
    </row>
    <row r="61" spans="1:13" ht="15" x14ac:dyDescent="0.25">
      <c r="A61" s="106" t="s">
        <v>6</v>
      </c>
      <c r="B61" s="106" t="s">
        <v>246</v>
      </c>
      <c r="F61" s="110" t="s">
        <v>155</v>
      </c>
      <c r="G61" s="110" t="s">
        <v>247</v>
      </c>
      <c r="H61" s="110" t="s">
        <v>249</v>
      </c>
      <c r="I61" s="110" t="s">
        <v>248</v>
      </c>
    </row>
    <row r="62" spans="1:13" ht="15" x14ac:dyDescent="0.25">
      <c r="C62" t="s">
        <v>500</v>
      </c>
      <c r="F62" s="111">
        <f>'CBS (Total)'!J12+'CBS (Total)'!J18+'CBS (Total)'!J24+'CBS (Total)'!J30+'CBS (Total)'!J45+'CBS (Total)'!J46</f>
        <v>83436690.782223359</v>
      </c>
      <c r="G62" s="111">
        <f>'CBS (Total)'!L12+'CBS (Total)'!L18+'CBS (Total)'!L24+'CBS (Total)'!L30+'CBS (Total)'!L45+'CBS (Total)'!L46</f>
        <v>317379701.08552456</v>
      </c>
      <c r="H62" s="111">
        <f>'CBS (Total)'!N12+'CBS (Total)'!N18+'CBS (Total)'!N24+'CBS (Total)'!N30+'CBS (Total)'!N45+'CBS (Total)'!N46</f>
        <v>1195860884.3687041</v>
      </c>
      <c r="I62" s="111">
        <f>'CBS (Total)'!P12+'CBS (Total)'!P18+'CBS (Total)'!P24+'CBS (Total)'!P30+'CBS (Total)'!P45+'CBS (Total)'!P46</f>
        <v>2217490315.8437319</v>
      </c>
      <c r="K62" s="111"/>
      <c r="M62" s="111"/>
    </row>
    <row r="63" spans="1:13" x14ac:dyDescent="0.3">
      <c r="C63" t="s">
        <v>499</v>
      </c>
      <c r="F63" s="90">
        <v>0.05</v>
      </c>
      <c r="G63" s="90">
        <v>0.03</v>
      </c>
      <c r="H63" s="90">
        <v>0.02</v>
      </c>
      <c r="I63" s="90">
        <v>0.01</v>
      </c>
    </row>
    <row r="64" spans="1:13" s="118" customFormat="1" x14ac:dyDescent="0.3">
      <c r="F64" s="90"/>
      <c r="G64" s="90"/>
      <c r="H64" s="90"/>
      <c r="I64" s="90"/>
    </row>
    <row r="65" spans="1:9" x14ac:dyDescent="0.3">
      <c r="C65" s="27" t="s">
        <v>84</v>
      </c>
      <c r="D65" s="27"/>
      <c r="E65" s="27"/>
      <c r="F65" s="387">
        <f>F63*F62</f>
        <v>4171834.5391111681</v>
      </c>
      <c r="G65" s="387">
        <f t="shared" ref="G65:I65" si="5">G63*G62</f>
        <v>9521391.0325657371</v>
      </c>
      <c r="H65" s="387">
        <f t="shared" si="5"/>
        <v>23917217.687374081</v>
      </c>
      <c r="I65" s="387">
        <f t="shared" si="5"/>
        <v>22174903.158437319</v>
      </c>
    </row>
    <row r="69" spans="1:9" s="504" customFormat="1" x14ac:dyDescent="0.3">
      <c r="A69" s="393" t="s">
        <v>501</v>
      </c>
    </row>
    <row r="70" spans="1:9" s="504" customFormat="1" x14ac:dyDescent="0.3">
      <c r="A70" s="504" t="s">
        <v>2</v>
      </c>
      <c r="B70" s="504" t="s">
        <v>682</v>
      </c>
    </row>
    <row r="71" spans="1:9" s="504" customFormat="1" x14ac:dyDescent="0.3">
      <c r="A71" s="504" t="s">
        <v>4</v>
      </c>
      <c r="B71" s="504" t="s">
        <v>503</v>
      </c>
    </row>
    <row r="72" spans="1:9" s="504" customFormat="1" x14ac:dyDescent="0.3">
      <c r="A72" s="504" t="s">
        <v>6</v>
      </c>
      <c r="B72" s="504" t="s">
        <v>502</v>
      </c>
    </row>
    <row r="73" spans="1:9" s="504" customFormat="1" x14ac:dyDescent="0.3"/>
    <row r="74" spans="1:9" s="504" customFormat="1" x14ac:dyDescent="0.3">
      <c r="A74" s="393" t="s">
        <v>716</v>
      </c>
    </row>
    <row r="75" spans="1:9" s="504" customFormat="1" x14ac:dyDescent="0.3">
      <c r="A75" s="504" t="s">
        <v>241</v>
      </c>
      <c r="B75" s="504" t="s">
        <v>717</v>
      </c>
    </row>
    <row r="76" spans="1:9" s="504" customFormat="1" x14ac:dyDescent="0.3">
      <c r="A76" s="504" t="s">
        <v>242</v>
      </c>
      <c r="B76" s="504" t="s">
        <v>717</v>
      </c>
    </row>
    <row r="77" spans="1:9" s="504" customFormat="1" x14ac:dyDescent="0.3">
      <c r="A77" s="504" t="s">
        <v>243</v>
      </c>
      <c r="B77" s="504" t="s">
        <v>717</v>
      </c>
    </row>
    <row r="78" spans="1:9" s="504" customFormat="1" x14ac:dyDescent="0.3">
      <c r="A78" s="504" t="s">
        <v>244</v>
      </c>
      <c r="B78" s="504" t="s">
        <v>717</v>
      </c>
    </row>
    <row r="79" spans="1:9" s="504" customFormat="1" x14ac:dyDescent="0.3">
      <c r="A79" s="504" t="s">
        <v>4</v>
      </c>
      <c r="B79" s="504" t="s">
        <v>664</v>
      </c>
    </row>
    <row r="80" spans="1:9" s="504" customFormat="1" x14ac:dyDescent="0.3">
      <c r="A80" s="504" t="s">
        <v>6</v>
      </c>
      <c r="B80" s="504" t="s">
        <v>664</v>
      </c>
    </row>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09"/>
  <sheetViews>
    <sheetView topLeftCell="A7" zoomScale="70" zoomScaleNormal="70" workbookViewId="0">
      <selection activeCell="A13" sqref="A13"/>
    </sheetView>
  </sheetViews>
  <sheetFormatPr defaultColWidth="9.109375" defaultRowHeight="14.4" x14ac:dyDescent="0.3"/>
  <cols>
    <col min="1" max="1" width="3.88671875" style="7" customWidth="1"/>
    <col min="2" max="2" width="6.33203125" style="7" customWidth="1"/>
    <col min="3" max="3" width="53" style="7" customWidth="1"/>
    <col min="4" max="4" width="13.5546875" style="7" bestFit="1" customWidth="1"/>
    <col min="5" max="5" width="15.88671875" style="7" customWidth="1"/>
    <col min="6" max="6" width="19.33203125" style="7" customWidth="1"/>
    <col min="7" max="7" width="18.109375" style="7" customWidth="1"/>
    <col min="8" max="8" width="18" style="7" customWidth="1"/>
    <col min="9" max="16384" width="9.109375" style="7"/>
  </cols>
  <sheetData>
    <row r="1" spans="1:8" s="17" customFormat="1" ht="15" x14ac:dyDescent="0.25">
      <c r="A1" s="17" t="s">
        <v>254</v>
      </c>
    </row>
    <row r="2" spans="1:8" s="17" customFormat="1" ht="15" x14ac:dyDescent="0.25"/>
    <row r="3" spans="1:8" s="17" customFormat="1" ht="15" x14ac:dyDescent="0.25">
      <c r="A3" s="18" t="s">
        <v>253</v>
      </c>
      <c r="D3" s="17" t="s">
        <v>68</v>
      </c>
      <c r="E3" s="17">
        <v>1</v>
      </c>
      <c r="F3" s="17">
        <v>10</v>
      </c>
      <c r="G3" s="17">
        <v>50</v>
      </c>
      <c r="H3" s="17">
        <v>100</v>
      </c>
    </row>
    <row r="4" spans="1:8" s="17" customFormat="1" ht="15" x14ac:dyDescent="0.25">
      <c r="A4" s="18"/>
      <c r="B4" s="17" t="s">
        <v>9</v>
      </c>
      <c r="C4" s="17" t="s">
        <v>12</v>
      </c>
      <c r="E4" s="87">
        <f>D40</f>
        <v>4440000</v>
      </c>
      <c r="F4" s="87">
        <f>D50</f>
        <v>5568500</v>
      </c>
      <c r="G4" s="87">
        <f>D61</f>
        <v>13497600</v>
      </c>
      <c r="H4" s="87">
        <f>D72</f>
        <v>26995200</v>
      </c>
    </row>
    <row r="5" spans="1:8" s="17" customFormat="1" ht="15" x14ac:dyDescent="0.25">
      <c r="A5" s="18"/>
      <c r="B5" s="17" t="s">
        <v>11</v>
      </c>
      <c r="C5" s="17" t="s">
        <v>510</v>
      </c>
      <c r="E5" s="87">
        <f>D79</f>
        <v>444000</v>
      </c>
      <c r="F5" s="87">
        <f t="shared" ref="F5:H5" si="0">E79</f>
        <v>556850</v>
      </c>
      <c r="G5" s="87">
        <f t="shared" si="0"/>
        <v>1349760</v>
      </c>
      <c r="H5" s="87">
        <f t="shared" si="0"/>
        <v>2699520</v>
      </c>
    </row>
    <row r="6" spans="1:8" s="113" customFormat="1" ht="15" x14ac:dyDescent="0.25">
      <c r="A6" s="106"/>
      <c r="B6" s="113" t="s">
        <v>14</v>
      </c>
      <c r="C6" s="113" t="s">
        <v>15</v>
      </c>
      <c r="E6" s="111">
        <v>0</v>
      </c>
      <c r="F6" s="111">
        <f>E35</f>
        <v>0</v>
      </c>
      <c r="G6" s="111">
        <f>F35</f>
        <v>0</v>
      </c>
      <c r="H6" s="111">
        <f>G35</f>
        <v>0</v>
      </c>
    </row>
    <row r="7" spans="1:8" s="113" customFormat="1" ht="15" x14ac:dyDescent="0.25">
      <c r="A7" s="106"/>
      <c r="B7" s="113" t="s">
        <v>16</v>
      </c>
      <c r="C7" s="113" t="s">
        <v>61</v>
      </c>
      <c r="E7" s="87">
        <f>D102</f>
        <v>30000000</v>
      </c>
      <c r="F7" s="87">
        <f t="shared" ref="F7:H7" si="1">E102</f>
        <v>30000000</v>
      </c>
      <c r="G7" s="87">
        <f t="shared" si="1"/>
        <v>60000000</v>
      </c>
      <c r="H7" s="87">
        <f t="shared" si="1"/>
        <v>90000000</v>
      </c>
    </row>
    <row r="8" spans="1:8" s="113" customFormat="1" ht="15" x14ac:dyDescent="0.25">
      <c r="A8" s="106"/>
      <c r="B8" s="113" t="s">
        <v>17</v>
      </c>
      <c r="C8" s="113" t="s">
        <v>18</v>
      </c>
      <c r="E8" s="111"/>
      <c r="F8" s="111"/>
      <c r="G8" s="111"/>
      <c r="H8" s="111"/>
    </row>
    <row r="9" spans="1:8" s="113" customFormat="1" ht="15" x14ac:dyDescent="0.25">
      <c r="A9" s="106"/>
      <c r="D9" s="87"/>
      <c r="E9" s="87"/>
      <c r="F9" s="87"/>
      <c r="G9" s="87"/>
    </row>
    <row r="10" spans="1:8" s="113" customFormat="1" ht="15" x14ac:dyDescent="0.25">
      <c r="A10" s="106"/>
      <c r="B10" s="401"/>
      <c r="C10" s="401" t="s">
        <v>225</v>
      </c>
      <c r="D10" s="402"/>
      <c r="E10" s="402">
        <f>SUM(E4:E8)</f>
        <v>34884000</v>
      </c>
      <c r="F10" s="222">
        <f t="shared" ref="F10:H10" si="2">SUM(F4:F8)</f>
        <v>36125350</v>
      </c>
      <c r="G10" s="222">
        <f t="shared" si="2"/>
        <v>74847360</v>
      </c>
      <c r="H10" s="222">
        <f t="shared" si="2"/>
        <v>119694720</v>
      </c>
    </row>
    <row r="11" spans="1:8" s="113" customFormat="1" ht="15" x14ac:dyDescent="0.25">
      <c r="A11" s="106"/>
      <c r="D11" s="87"/>
      <c r="E11" s="87"/>
      <c r="F11" s="87"/>
      <c r="G11" s="87"/>
    </row>
    <row r="12" spans="1:8" s="17" customFormat="1" ht="15" x14ac:dyDescent="0.25"/>
    <row r="13" spans="1:8" s="17" customFormat="1" ht="15" x14ac:dyDescent="0.25"/>
    <row r="14" spans="1:8" ht="15" x14ac:dyDescent="0.25">
      <c r="A14" s="10"/>
      <c r="B14" s="10"/>
    </row>
    <row r="15" spans="1:8" ht="15" x14ac:dyDescent="0.25">
      <c r="A15" s="106" t="s">
        <v>325</v>
      </c>
    </row>
    <row r="16" spans="1:8" s="118" customFormat="1" ht="15" x14ac:dyDescent="0.25">
      <c r="A16" s="106"/>
      <c r="B16" s="118" t="s">
        <v>504</v>
      </c>
    </row>
    <row r="17" spans="2:5" ht="15" x14ac:dyDescent="0.25">
      <c r="C17" s="7" t="s">
        <v>328</v>
      </c>
      <c r="D17" s="104">
        <v>30000</v>
      </c>
      <c r="E17" s="7" t="s">
        <v>326</v>
      </c>
    </row>
    <row r="18" spans="2:5" ht="15" x14ac:dyDescent="0.25">
      <c r="C18" s="7" t="s">
        <v>327</v>
      </c>
      <c r="D18" s="7">
        <v>1000</v>
      </c>
      <c r="E18" s="7" t="s">
        <v>326</v>
      </c>
    </row>
    <row r="19" spans="2:5" ht="15" x14ac:dyDescent="0.25">
      <c r="C19" s="7" t="s">
        <v>331</v>
      </c>
      <c r="D19" s="7">
        <f>D17*20%</f>
        <v>6000</v>
      </c>
      <c r="E19" s="7" t="s">
        <v>326</v>
      </c>
    </row>
    <row r="21" spans="2:5" ht="15" x14ac:dyDescent="0.25">
      <c r="C21" s="7" t="s">
        <v>329</v>
      </c>
      <c r="D21" s="104">
        <f>SUM(D17:D19)</f>
        <v>37000</v>
      </c>
      <c r="E21" s="7" t="s">
        <v>326</v>
      </c>
    </row>
    <row r="22" spans="2:5" s="118" customFormat="1" ht="15" x14ac:dyDescent="0.25">
      <c r="D22" s="104"/>
    </row>
    <row r="23" spans="2:5" ht="15" x14ac:dyDescent="0.25">
      <c r="B23" s="7" t="s">
        <v>505</v>
      </c>
    </row>
    <row r="24" spans="2:5" ht="15" x14ac:dyDescent="0.25">
      <c r="C24" s="107" t="s">
        <v>506</v>
      </c>
      <c r="D24" s="7">
        <v>1000</v>
      </c>
      <c r="E24" s="7" t="s">
        <v>326</v>
      </c>
    </row>
    <row r="25" spans="2:5" ht="15" x14ac:dyDescent="0.25">
      <c r="C25" s="107" t="s">
        <v>330</v>
      </c>
      <c r="D25" s="7">
        <v>700</v>
      </c>
      <c r="E25" s="7" t="s">
        <v>326</v>
      </c>
    </row>
    <row r="26" spans="2:5" ht="15" x14ac:dyDescent="0.25">
      <c r="C26" s="107" t="s">
        <v>331</v>
      </c>
      <c r="D26" s="7">
        <f>(D24+D25*2)*20%</f>
        <v>480</v>
      </c>
      <c r="E26" s="7" t="s">
        <v>326</v>
      </c>
    </row>
    <row r="27" spans="2:5" ht="15" x14ac:dyDescent="0.25">
      <c r="D27" s="78"/>
    </row>
    <row r="28" spans="2:5" ht="15" x14ac:dyDescent="0.25">
      <c r="C28" s="7" t="s">
        <v>332</v>
      </c>
      <c r="D28" s="7">
        <f>D24+D25*2+D26</f>
        <v>2880</v>
      </c>
      <c r="E28" s="7" t="s">
        <v>326</v>
      </c>
    </row>
    <row r="29" spans="2:5" s="118" customFormat="1" ht="15" x14ac:dyDescent="0.25"/>
    <row r="31" spans="2:5" ht="15" x14ac:dyDescent="0.25">
      <c r="B31" s="7" t="s">
        <v>333</v>
      </c>
      <c r="D31" s="8"/>
    </row>
    <row r="32" spans="2:5" ht="15" x14ac:dyDescent="0.25">
      <c r="C32" s="7" t="s">
        <v>334</v>
      </c>
      <c r="D32" s="7">
        <v>30</v>
      </c>
      <c r="E32" s="7" t="s">
        <v>335</v>
      </c>
    </row>
    <row r="33" spans="2:5" s="118" customFormat="1" ht="15" x14ac:dyDescent="0.25">
      <c r="C33" s="118" t="s">
        <v>526</v>
      </c>
      <c r="D33" s="118">
        <v>245</v>
      </c>
      <c r="E33" s="118" t="s">
        <v>346</v>
      </c>
    </row>
    <row r="34" spans="2:5" s="118" customFormat="1" ht="15" x14ac:dyDescent="0.25">
      <c r="C34" s="118" t="s">
        <v>338</v>
      </c>
      <c r="D34" s="30">
        <f>D32*D33*SQRT(3)/1000</f>
        <v>12.730573435631248</v>
      </c>
      <c r="E34" s="118" t="s">
        <v>339</v>
      </c>
    </row>
    <row r="35" spans="2:5" ht="15" x14ac:dyDescent="0.25">
      <c r="B35" s="10"/>
      <c r="C35" s="7" t="s">
        <v>507</v>
      </c>
      <c r="D35" s="104">
        <f>D21</f>
        <v>37000</v>
      </c>
    </row>
    <row r="36" spans="2:5" ht="15" x14ac:dyDescent="0.25">
      <c r="C36" s="7" t="s">
        <v>336</v>
      </c>
      <c r="D36" s="7">
        <v>70</v>
      </c>
      <c r="E36" s="7" t="s">
        <v>343</v>
      </c>
    </row>
    <row r="37" spans="2:5" s="118" customFormat="1" ht="15" x14ac:dyDescent="0.25">
      <c r="C37" s="118" t="s">
        <v>512</v>
      </c>
      <c r="D37" s="118">
        <v>100.6</v>
      </c>
      <c r="E37" s="118" t="s">
        <v>344</v>
      </c>
    </row>
    <row r="38" spans="2:5" s="118" customFormat="1" ht="15" x14ac:dyDescent="0.25">
      <c r="C38" s="118" t="s">
        <v>513</v>
      </c>
      <c r="D38" s="118">
        <v>18.2</v>
      </c>
      <c r="E38" s="118" t="s">
        <v>345</v>
      </c>
    </row>
    <row r="39" spans="2:5" s="118" customFormat="1" ht="15" x14ac:dyDescent="0.25">
      <c r="C39" s="118" t="s">
        <v>508</v>
      </c>
      <c r="D39" s="411">
        <v>120</v>
      </c>
      <c r="E39" s="118" t="s">
        <v>509</v>
      </c>
    </row>
    <row r="40" spans="2:5" ht="15" x14ac:dyDescent="0.25">
      <c r="C40" s="27" t="s">
        <v>84</v>
      </c>
      <c r="D40" s="421">
        <f>D39*D21</f>
        <v>4440000</v>
      </c>
    </row>
    <row r="42" spans="2:5" ht="15" x14ac:dyDescent="0.25">
      <c r="B42" s="7" t="s">
        <v>337</v>
      </c>
    </row>
    <row r="43" spans="2:5" ht="15" x14ac:dyDescent="0.25">
      <c r="C43" s="118" t="s">
        <v>334</v>
      </c>
      <c r="D43" s="118">
        <v>45</v>
      </c>
      <c r="E43" s="118" t="s">
        <v>335</v>
      </c>
    </row>
    <row r="44" spans="2:5" s="118" customFormat="1" ht="15" x14ac:dyDescent="0.25">
      <c r="C44" s="118" t="s">
        <v>526</v>
      </c>
      <c r="D44" s="118">
        <v>530</v>
      </c>
      <c r="E44" s="118" t="s">
        <v>346</v>
      </c>
    </row>
    <row r="45" spans="2:5" ht="15" x14ac:dyDescent="0.25">
      <c r="C45" s="118" t="s">
        <v>338</v>
      </c>
      <c r="D45" s="30">
        <f>D43*D44*SQRT(3)/1000</f>
        <v>41.309411760517726</v>
      </c>
      <c r="E45" s="118" t="s">
        <v>339</v>
      </c>
    </row>
    <row r="46" spans="2:5" ht="15" x14ac:dyDescent="0.25">
      <c r="C46" s="118" t="s">
        <v>336</v>
      </c>
      <c r="D46" s="118">
        <v>300</v>
      </c>
      <c r="E46" s="118" t="s">
        <v>343</v>
      </c>
    </row>
    <row r="47" spans="2:5" s="118" customFormat="1" ht="15" x14ac:dyDescent="0.25">
      <c r="C47" s="118" t="s">
        <v>512</v>
      </c>
      <c r="D47" s="118">
        <v>130</v>
      </c>
      <c r="E47" s="118" t="s">
        <v>344</v>
      </c>
    </row>
    <row r="48" spans="2:5" s="118" customFormat="1" ht="15" x14ac:dyDescent="0.25">
      <c r="C48" s="118" t="s">
        <v>513</v>
      </c>
      <c r="D48" s="118">
        <v>32.9</v>
      </c>
      <c r="E48" s="118" t="s">
        <v>345</v>
      </c>
    </row>
    <row r="49" spans="2:5" s="118" customFormat="1" ht="15" x14ac:dyDescent="0.25">
      <c r="C49" s="118" t="s">
        <v>508</v>
      </c>
      <c r="D49" s="411">
        <v>150.5</v>
      </c>
      <c r="E49" s="118" t="s">
        <v>509</v>
      </c>
    </row>
    <row r="50" spans="2:5" ht="15" x14ac:dyDescent="0.25">
      <c r="C50" s="27" t="s">
        <v>84</v>
      </c>
      <c r="D50" s="421">
        <f>D21*D49</f>
        <v>5568500</v>
      </c>
      <c r="E50" s="118"/>
    </row>
    <row r="52" spans="2:5" ht="15" x14ac:dyDescent="0.25">
      <c r="B52" s="7" t="s">
        <v>340</v>
      </c>
    </row>
    <row r="53" spans="2:5" ht="15" x14ac:dyDescent="0.25">
      <c r="C53" s="118" t="s">
        <v>334</v>
      </c>
      <c r="D53" s="118">
        <v>110</v>
      </c>
      <c r="E53" s="118" t="s">
        <v>335</v>
      </c>
    </row>
    <row r="54" spans="2:5" s="118" customFormat="1" ht="15" x14ac:dyDescent="0.25">
      <c r="C54" s="118" t="s">
        <v>526</v>
      </c>
      <c r="D54" s="118">
        <v>530</v>
      </c>
      <c r="E54" s="118" t="s">
        <v>346</v>
      </c>
    </row>
    <row r="55" spans="2:5" ht="15" x14ac:dyDescent="0.25">
      <c r="C55" s="118" t="s">
        <v>348</v>
      </c>
      <c r="D55" s="25">
        <f>D53*D54*SQRT(3)/1000</f>
        <v>100.97856208126554</v>
      </c>
      <c r="E55" s="118" t="s">
        <v>339</v>
      </c>
    </row>
    <row r="56" spans="2:5" s="118" customFormat="1" ht="15" x14ac:dyDescent="0.25">
      <c r="C56" s="118" t="s">
        <v>349</v>
      </c>
      <c r="D56" s="118">
        <v>2</v>
      </c>
    </row>
    <row r="57" spans="2:5" ht="15" x14ac:dyDescent="0.25">
      <c r="C57" s="118" t="s">
        <v>336</v>
      </c>
      <c r="D57" s="118">
        <v>300</v>
      </c>
      <c r="E57" s="118" t="s">
        <v>343</v>
      </c>
    </row>
    <row r="58" spans="2:5" s="118" customFormat="1" ht="15" x14ac:dyDescent="0.25">
      <c r="C58" s="118" t="s">
        <v>512</v>
      </c>
      <c r="D58" s="118">
        <v>157</v>
      </c>
      <c r="E58" s="118" t="s">
        <v>344</v>
      </c>
    </row>
    <row r="59" spans="2:5" s="118" customFormat="1" ht="15" x14ac:dyDescent="0.25">
      <c r="C59" s="118" t="s">
        <v>513</v>
      </c>
      <c r="D59" s="118">
        <v>44.1</v>
      </c>
      <c r="E59" s="118" t="s">
        <v>345</v>
      </c>
    </row>
    <row r="60" spans="2:5" s="118" customFormat="1" ht="15" x14ac:dyDescent="0.25">
      <c r="C60" s="118" t="s">
        <v>508</v>
      </c>
      <c r="D60" s="411">
        <v>182.4</v>
      </c>
      <c r="E60" s="118" t="s">
        <v>509</v>
      </c>
    </row>
    <row r="61" spans="2:5" ht="15" x14ac:dyDescent="0.25">
      <c r="C61" s="27" t="s">
        <v>84</v>
      </c>
      <c r="D61" s="365">
        <f>D60*D56*D21</f>
        <v>13497600</v>
      </c>
      <c r="E61" s="118"/>
    </row>
    <row r="63" spans="2:5" ht="15" x14ac:dyDescent="0.25">
      <c r="B63" s="118" t="s">
        <v>341</v>
      </c>
      <c r="C63" s="118"/>
      <c r="D63" s="118"/>
      <c r="E63" s="118"/>
    </row>
    <row r="64" spans="2:5" ht="15" x14ac:dyDescent="0.25">
      <c r="B64" s="118"/>
      <c r="C64" s="118" t="s">
        <v>334</v>
      </c>
      <c r="D64" s="118">
        <v>110</v>
      </c>
      <c r="E64" s="118" t="s">
        <v>335</v>
      </c>
    </row>
    <row r="65" spans="1:7" s="118" customFormat="1" ht="15" x14ac:dyDescent="0.25">
      <c r="C65" s="118" t="s">
        <v>526</v>
      </c>
      <c r="D65" s="118">
        <v>530</v>
      </c>
      <c r="E65" s="118" t="s">
        <v>346</v>
      </c>
    </row>
    <row r="66" spans="1:7" ht="15" x14ac:dyDescent="0.25">
      <c r="B66" s="118"/>
      <c r="C66" s="118" t="s">
        <v>338</v>
      </c>
      <c r="D66" s="25">
        <f>D55</f>
        <v>100.97856208126554</v>
      </c>
      <c r="E66" s="118" t="s">
        <v>339</v>
      </c>
    </row>
    <row r="67" spans="1:7" s="118" customFormat="1" ht="15" x14ac:dyDescent="0.25">
      <c r="C67" s="118" t="s">
        <v>349</v>
      </c>
      <c r="D67" s="118">
        <v>4</v>
      </c>
    </row>
    <row r="68" spans="1:7" ht="15" x14ac:dyDescent="0.25">
      <c r="B68" s="118"/>
      <c r="C68" s="118" t="s">
        <v>336</v>
      </c>
      <c r="D68" s="118">
        <v>300</v>
      </c>
      <c r="E68" s="118" t="s">
        <v>343</v>
      </c>
    </row>
    <row r="69" spans="1:7" s="118" customFormat="1" x14ac:dyDescent="0.3">
      <c r="C69" s="118" t="s">
        <v>512</v>
      </c>
      <c r="D69" s="118">
        <v>157</v>
      </c>
      <c r="E69" s="118" t="s">
        <v>344</v>
      </c>
    </row>
    <row r="70" spans="1:7" s="118" customFormat="1" x14ac:dyDescent="0.3">
      <c r="C70" s="118" t="s">
        <v>513</v>
      </c>
      <c r="D70" s="118">
        <v>44.1</v>
      </c>
      <c r="E70" s="118" t="s">
        <v>345</v>
      </c>
    </row>
    <row r="71" spans="1:7" s="118" customFormat="1" x14ac:dyDescent="0.3">
      <c r="C71" s="118" t="s">
        <v>508</v>
      </c>
      <c r="D71" s="411">
        <f>D60</f>
        <v>182.4</v>
      </c>
      <c r="E71" s="118" t="s">
        <v>509</v>
      </c>
    </row>
    <row r="72" spans="1:7" x14ac:dyDescent="0.3">
      <c r="B72" s="118"/>
      <c r="C72" s="27" t="s">
        <v>84</v>
      </c>
      <c r="D72" s="365">
        <f>D61*2</f>
        <v>26995200</v>
      </c>
      <c r="E72" s="118"/>
    </row>
    <row r="73" spans="1:7" x14ac:dyDescent="0.3">
      <c r="B73" s="118"/>
      <c r="C73" s="118"/>
      <c r="D73" s="118"/>
      <c r="E73" s="118"/>
    </row>
    <row r="75" spans="1:7" x14ac:dyDescent="0.3">
      <c r="A75" s="106" t="s">
        <v>511</v>
      </c>
      <c r="B75" s="106"/>
      <c r="C75" s="106"/>
      <c r="D75" s="154" t="s">
        <v>155</v>
      </c>
      <c r="E75" s="220" t="s">
        <v>247</v>
      </c>
      <c r="F75" s="110" t="s">
        <v>249</v>
      </c>
      <c r="G75" s="110" t="s">
        <v>248</v>
      </c>
    </row>
    <row r="76" spans="1:7" s="118" customFormat="1" x14ac:dyDescent="0.3">
      <c r="C76" s="118" t="s">
        <v>515</v>
      </c>
      <c r="D76" s="410">
        <f>D40</f>
        <v>4440000</v>
      </c>
      <c r="E76" s="410">
        <f>D50</f>
        <v>5568500</v>
      </c>
      <c r="F76" s="410">
        <f>D61</f>
        <v>13497600</v>
      </c>
      <c r="G76" s="410">
        <f>D72</f>
        <v>26995200</v>
      </c>
    </row>
    <row r="77" spans="1:7" s="118" customFormat="1" x14ac:dyDescent="0.3">
      <c r="C77" s="118" t="s">
        <v>514</v>
      </c>
      <c r="D77" s="385">
        <v>0.1</v>
      </c>
      <c r="E77" s="385">
        <v>0.1</v>
      </c>
      <c r="F77" s="385">
        <v>0.1</v>
      </c>
      <c r="G77" s="385">
        <v>0.1</v>
      </c>
    </row>
    <row r="78" spans="1:7" s="118" customFormat="1" x14ac:dyDescent="0.3">
      <c r="D78" s="87"/>
      <c r="E78" s="91"/>
    </row>
    <row r="79" spans="1:7" s="118" customFormat="1" x14ac:dyDescent="0.3">
      <c r="C79" s="27" t="s">
        <v>84</v>
      </c>
      <c r="D79" s="28">
        <f>D77*D76</f>
        <v>444000</v>
      </c>
      <c r="E79" s="28">
        <f t="shared" ref="E79:G79" si="3">E77*E76</f>
        <v>556850</v>
      </c>
      <c r="F79" s="28">
        <f t="shared" si="3"/>
        <v>1349760</v>
      </c>
      <c r="G79" s="28">
        <f t="shared" si="3"/>
        <v>2699520</v>
      </c>
    </row>
    <row r="80" spans="1:7" x14ac:dyDescent="0.3">
      <c r="D80" s="8"/>
    </row>
    <row r="81" spans="1:4" x14ac:dyDescent="0.3">
      <c r="A81" s="106" t="s">
        <v>350</v>
      </c>
      <c r="B81" s="106"/>
      <c r="D81" s="8"/>
    </row>
    <row r="82" spans="1:4" s="118" customFormat="1" x14ac:dyDescent="0.3">
      <c r="B82" s="118" t="s">
        <v>525</v>
      </c>
      <c r="D82" s="87"/>
    </row>
    <row r="83" spans="1:4" s="17" customFormat="1" x14ac:dyDescent="0.3">
      <c r="D83" s="23"/>
    </row>
    <row r="84" spans="1:4" s="17" customFormat="1" x14ac:dyDescent="0.3">
      <c r="A84" s="106" t="s">
        <v>351</v>
      </c>
      <c r="B84" s="106"/>
      <c r="D84" s="23"/>
    </row>
    <row r="85" spans="1:4" s="17" customFormat="1" x14ac:dyDescent="0.3">
      <c r="B85" s="18"/>
      <c r="D85" s="23"/>
    </row>
    <row r="86" spans="1:4" s="17" customFormat="1" x14ac:dyDescent="0.3">
      <c r="B86" s="17" t="s">
        <v>354</v>
      </c>
      <c r="D86" s="23"/>
    </row>
    <row r="87" spans="1:4" s="17" customFormat="1" x14ac:dyDescent="0.3">
      <c r="C87" s="17" t="s">
        <v>352</v>
      </c>
      <c r="D87" s="79"/>
    </row>
    <row r="88" spans="1:4" s="17" customFormat="1" x14ac:dyDescent="0.3">
      <c r="C88" s="17" t="s">
        <v>353</v>
      </c>
      <c r="D88" s="79"/>
    </row>
    <row r="89" spans="1:4" s="17" customFormat="1" x14ac:dyDescent="0.3">
      <c r="C89" s="17" t="s">
        <v>517</v>
      </c>
      <c r="D89" s="79"/>
    </row>
    <row r="90" spans="1:4" s="118" customFormat="1" x14ac:dyDescent="0.3">
      <c r="C90" s="118" t="s">
        <v>518</v>
      </c>
      <c r="D90" s="79"/>
    </row>
    <row r="91" spans="1:4" s="118" customFormat="1" x14ac:dyDescent="0.3">
      <c r="C91" s="118" t="s">
        <v>520</v>
      </c>
      <c r="D91" s="79"/>
    </row>
    <row r="92" spans="1:4" s="118" customFormat="1" x14ac:dyDescent="0.3">
      <c r="C92" s="118" t="s">
        <v>519</v>
      </c>
      <c r="D92" s="79"/>
    </row>
    <row r="93" spans="1:4" s="17" customFormat="1" x14ac:dyDescent="0.3">
      <c r="C93" s="17" t="s">
        <v>355</v>
      </c>
      <c r="D93" s="79"/>
    </row>
    <row r="94" spans="1:4" s="17" customFormat="1" x14ac:dyDescent="0.3">
      <c r="D94" s="79"/>
    </row>
    <row r="95" spans="1:4" s="17" customFormat="1" x14ac:dyDescent="0.3">
      <c r="B95" s="17" t="s">
        <v>356</v>
      </c>
      <c r="D95" s="79"/>
    </row>
    <row r="96" spans="1:4" s="17" customFormat="1" x14ac:dyDescent="0.3">
      <c r="C96" s="118" t="s">
        <v>516</v>
      </c>
      <c r="D96" s="79"/>
    </row>
    <row r="97" spans="1:7" s="17" customFormat="1" x14ac:dyDescent="0.3">
      <c r="C97" s="17" t="s">
        <v>521</v>
      </c>
      <c r="D97" s="79"/>
    </row>
    <row r="98" spans="1:7" s="17" customFormat="1" x14ac:dyDescent="0.3">
      <c r="C98" s="17" t="s">
        <v>522</v>
      </c>
      <c r="D98" s="79"/>
    </row>
    <row r="99" spans="1:7" x14ac:dyDescent="0.3">
      <c r="C99" s="107" t="s">
        <v>523</v>
      </c>
      <c r="D99" s="14"/>
    </row>
    <row r="100" spans="1:7" x14ac:dyDescent="0.3">
      <c r="A100" s="10"/>
    </row>
    <row r="101" spans="1:7" x14ac:dyDescent="0.3">
      <c r="D101" s="110" t="s">
        <v>155</v>
      </c>
      <c r="E101" s="110" t="s">
        <v>247</v>
      </c>
      <c r="F101" s="110" t="s">
        <v>249</v>
      </c>
      <c r="G101" s="110" t="s">
        <v>248</v>
      </c>
    </row>
    <row r="102" spans="1:7" x14ac:dyDescent="0.3">
      <c r="C102" s="27" t="s">
        <v>524</v>
      </c>
      <c r="D102" s="28">
        <v>30000000</v>
      </c>
      <c r="E102" s="28">
        <f>D102</f>
        <v>30000000</v>
      </c>
      <c r="F102" s="28">
        <f>E102*2</f>
        <v>60000000</v>
      </c>
      <c r="G102" s="28">
        <f>E102*3</f>
        <v>90000000</v>
      </c>
    </row>
    <row r="105" spans="1:7" s="504" customFormat="1" x14ac:dyDescent="0.3">
      <c r="A105" s="393" t="s">
        <v>716</v>
      </c>
    </row>
    <row r="106" spans="1:7" s="504" customFormat="1" x14ac:dyDescent="0.3">
      <c r="B106" s="504" t="s">
        <v>9</v>
      </c>
      <c r="C106" s="504" t="s">
        <v>718</v>
      </c>
    </row>
    <row r="107" spans="1:7" s="504" customFormat="1" x14ac:dyDescent="0.3">
      <c r="B107" s="504" t="s">
        <v>11</v>
      </c>
      <c r="C107" s="504" t="s">
        <v>719</v>
      </c>
    </row>
    <row r="108" spans="1:7" s="504" customFormat="1" x14ac:dyDescent="0.3">
      <c r="B108" s="504" t="s">
        <v>14</v>
      </c>
      <c r="C108" s="504" t="s">
        <v>720</v>
      </c>
    </row>
    <row r="109" spans="1:7" s="504" customFormat="1" x14ac:dyDescent="0.3">
      <c r="B109" s="504" t="s">
        <v>16</v>
      </c>
      <c r="C109" s="504" t="s">
        <v>718</v>
      </c>
    </row>
  </sheetData>
  <pageMargins left="0.7" right="0.7" top="0.75" bottom="0.75" header="0.3" footer="0.3"/>
  <pageSetup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631C712E52981488C6D6351BCD57B56" ma:contentTypeVersion="0" ma:contentTypeDescription="Create a new document." ma:contentTypeScope="" ma:versionID="52e151b38793cf5211269c2c0594668f">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9EEC3C-70B3-4C33-A832-A0BFB8F666B3}">
  <ds:schemaRefs>
    <ds:schemaRef ds:uri="http://purl.org/dc/term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0D12D77C-3170-4459-BBDA-C6966F91AE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9FAE06C-DBA2-4B97-8AEA-5F264E48B0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About</vt:lpstr>
      <vt:lpstr>Report Tables</vt:lpstr>
      <vt:lpstr>Report Graphs</vt:lpstr>
      <vt:lpstr>Performance &amp; Economics</vt:lpstr>
      <vt:lpstr>CBS (CoE)</vt:lpstr>
      <vt:lpstr>CBS ($ per kW)</vt:lpstr>
      <vt:lpstr>CBS (Total)</vt:lpstr>
      <vt:lpstr>1.1</vt:lpstr>
      <vt:lpstr>1.2</vt:lpstr>
      <vt:lpstr>1.3</vt:lpstr>
      <vt:lpstr>1.4</vt:lpstr>
      <vt:lpstr>1.5</vt:lpstr>
      <vt:lpstr>1.6</vt:lpstr>
      <vt:lpstr>1.7</vt:lpstr>
      <vt:lpstr>1.8</vt:lpstr>
      <vt:lpstr>1.9</vt:lpstr>
      <vt:lpstr>2.1</vt:lpstr>
      <vt:lpstr>2.2</vt:lpstr>
      <vt:lpstr>2.3</vt:lpstr>
      <vt:lpstr>2.4</vt:lpstr>
      <vt:lpstr>2.5</vt:lpstr>
      <vt:lpstr>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dc:creator>
  <cp:lastModifiedBy>Neary, Vincent</cp:lastModifiedBy>
  <dcterms:created xsi:type="dcterms:W3CDTF">2012-04-25T12:13:03Z</dcterms:created>
  <dcterms:modified xsi:type="dcterms:W3CDTF">2014-01-23T18:32:26Z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0x0101007631C712E52981488C6D6351BCD57B56</vt:lpwstr>
  </property>
</Properties>
</file>