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theme/themeOverride7.xml" ContentType="application/vnd.openxmlformats-officedocument.themeOverride+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harts/chart1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 yWindow="0" windowWidth="13536" windowHeight="12540"/>
  </bookViews>
  <sheets>
    <sheet name="About" sheetId="25" r:id="rId1"/>
    <sheet name="Report Tables" sheetId="26" r:id="rId2"/>
    <sheet name="Report Graphs" sheetId="33" r:id="rId3"/>
    <sheet name="Performance &amp; Economics" sheetId="31" r:id="rId4"/>
    <sheet name="CBS (CoE)" sheetId="23" r:id="rId5"/>
    <sheet name="CBS ($ per kW)" sheetId="22" r:id="rId6"/>
    <sheet name="CBS (Total)" sheetId="1" r:id="rId7"/>
    <sheet name="1.1" sheetId="2" r:id="rId8"/>
    <sheet name="1.2" sheetId="3" r:id="rId9"/>
    <sheet name="1.3" sheetId="5" r:id="rId10"/>
    <sheet name="1.4" sheetId="4" r:id="rId11"/>
    <sheet name="1.5" sheetId="18" r:id="rId12"/>
    <sheet name="1.6" sheetId="7" r:id="rId13"/>
    <sheet name="1.7" sheetId="8" r:id="rId14"/>
    <sheet name="1.8" sheetId="27" r:id="rId15"/>
    <sheet name="1.9" sheetId="28" r:id="rId16"/>
    <sheet name="2.1" sheetId="11" r:id="rId17"/>
    <sheet name="2.2" sheetId="12" r:id="rId18"/>
    <sheet name="2.3" sheetId="13" r:id="rId19"/>
    <sheet name="2.4" sheetId="14" r:id="rId20"/>
    <sheet name="2.5" sheetId="15" r:id="rId21"/>
    <sheet name="2.6" sheetId="16" r:id="rId22"/>
  </sheets>
  <externalReferences>
    <externalReference r:id="rId23"/>
    <externalReference r:id="rId24"/>
    <externalReference r:id="rId25"/>
  </externalReferences>
  <definedNames>
    <definedName name="_Ref289344426" localSheetId="13">'1.7'!$M$30</definedName>
    <definedName name="AnnArrayOMCost">#REF!</definedName>
    <definedName name="AnnArrayOutput">#REF!</definedName>
    <definedName name="ArrayInstalledCost">#REF!</definedName>
    <definedName name="Avail">[1]Master!$K$6</definedName>
    <definedName name="Availability">#REF!</definedName>
    <definedName name="AvgCurrentSpeedSurface">#REF!</definedName>
    <definedName name="AvgPowerFluxSurface">#REF!</definedName>
    <definedName name="AvgProgRatio">#REF!</definedName>
    <definedName name="CableLen">[1]Master!$K$11</definedName>
    <definedName name="Capex">#REF!</definedName>
    <definedName name="CapFactor">#REF!</definedName>
    <definedName name="Clearance">#REF!</definedName>
    <definedName name="COEReal">#REF!</definedName>
    <definedName name="CRF">#REF!</definedName>
    <definedName name="CurrentSenario">#REF!</definedName>
    <definedName name="CutinSpeed">[1]Master!$E$12</definedName>
    <definedName name="DeviceOrientation">#REF!</definedName>
    <definedName name="DuctClearance">#REF!</definedName>
    <definedName name="Grid">#REF!</definedName>
    <definedName name="HubHeight">[1]Master!$E$10</definedName>
    <definedName name="IRR">#REF!</definedName>
    <definedName name="JnctBox">[1]Master!$K$13</definedName>
    <definedName name="MonoSep">[1]Master!$K$4</definedName>
    <definedName name="nomdisc">#REF!</definedName>
    <definedName name="Nominal_CR">[1]Master!$T$5</definedName>
    <definedName name="NumTurbines">#REF!</definedName>
    <definedName name="ProgRatio">#REF!</definedName>
    <definedName name="RatedSpeed">#REF!</definedName>
    <definedName name="Real_CR">[1]Master!$T$4</definedName>
    <definedName name="realdisc">#REF!</definedName>
    <definedName name="RefCurrency">#REF!</definedName>
    <definedName name="RefYear">#REF!</definedName>
    <definedName name="rho">[2]Master!$B$2</definedName>
    <definedName name="RotorD">#REF!</definedName>
    <definedName name="RotorEff">[1]Master!$E$11</definedName>
    <definedName name="S1_ValueName1">#REF!</definedName>
    <definedName name="Senarios">#REF!</definedName>
    <definedName name="ShoreProtect">#REF!</definedName>
    <definedName name="Site_Selection">[3]Inputs!$E$10</definedName>
    <definedName name="Site_Spectral_Parameter">[3]Inputs!$E$11</definedName>
    <definedName name="solver_cvg" localSheetId="3" hidden="1">0.0001</definedName>
    <definedName name="solver_drv" localSheetId="3" hidden="1">1</definedName>
    <definedName name="solver_est" localSheetId="3" hidden="1">1</definedName>
    <definedName name="solver_itr" localSheetId="3" hidden="1">100</definedName>
    <definedName name="solver_lhs1" localSheetId="3" hidden="1">'Performance &amp; Economics'!#REF!</definedName>
    <definedName name="solver_lhs2" localSheetId="3" hidden="1">'Performance &amp; Economics'!#REF!</definedName>
    <definedName name="solver_lin" localSheetId="3" hidden="1">2</definedName>
    <definedName name="solver_neg" localSheetId="3" hidden="1">2</definedName>
    <definedName name="solver_num" localSheetId="3" hidden="1">0</definedName>
    <definedName name="solver_nwt" localSheetId="3" hidden="1">1</definedName>
    <definedName name="solver_pre" localSheetId="3" hidden="1">0.001</definedName>
    <definedName name="solver_rel1" localSheetId="3" hidden="1">1</definedName>
    <definedName name="solver_rel2" localSheetId="3" hidden="1">3</definedName>
    <definedName name="solver_rhs1" localSheetId="3" hidden="1">360</definedName>
    <definedName name="solver_rhs2" localSheetId="3" hidden="1">0</definedName>
    <definedName name="solver_scl" localSheetId="3" hidden="1">2</definedName>
    <definedName name="solver_sho" localSheetId="3" hidden="1">2</definedName>
    <definedName name="solver_tim" localSheetId="3" hidden="1">100</definedName>
    <definedName name="solver_tol" localSheetId="3" hidden="1">0.05</definedName>
    <definedName name="solver_typ" localSheetId="3" hidden="1">1</definedName>
    <definedName name="solver_val" localSheetId="3" hidden="1">0</definedName>
    <definedName name="SVTable1">#REF!</definedName>
    <definedName name="TranUpgrade">#REF!</definedName>
    <definedName name="TrenchDist">[1]Master!$K$9</definedName>
    <definedName name="TurbineCapital">#REF!</definedName>
    <definedName name="VelFactor">#REF!</definedName>
    <definedName name="WaterDepth">#REF!</definedName>
  </definedNames>
  <calcPr calcId="145621"/>
</workbook>
</file>

<file path=xl/calcChain.xml><?xml version="1.0" encoding="utf-8"?>
<calcChain xmlns="http://schemas.openxmlformats.org/spreadsheetml/2006/main">
  <c r="I59" i="18" l="1"/>
  <c r="J52" i="1" l="1"/>
  <c r="G80" i="31" l="1"/>
  <c r="J2" i="23"/>
  <c r="P2" i="23"/>
  <c r="J54" i="22"/>
  <c r="J12" i="1"/>
  <c r="G41" i="18"/>
  <c r="J41" i="18"/>
  <c r="K41" i="18" s="1"/>
  <c r="J68" i="18" s="1"/>
  <c r="I68" i="18" s="1"/>
  <c r="F12" i="18"/>
  <c r="G18" i="14"/>
  <c r="D18" i="14"/>
  <c r="E18" i="14"/>
  <c r="D9" i="14"/>
  <c r="G16" i="5"/>
  <c r="H16" i="5"/>
  <c r="E29" i="3" l="1"/>
  <c r="F29" i="3"/>
  <c r="G29" i="3"/>
  <c r="D29" i="3"/>
  <c r="D33" i="3"/>
  <c r="G29" i="2"/>
  <c r="B9" i="26" l="1"/>
  <c r="E58" i="4" l="1"/>
  <c r="H30" i="5"/>
  <c r="G30" i="5"/>
  <c r="F30" i="5"/>
  <c r="H23" i="5"/>
  <c r="G23" i="5"/>
  <c r="F23" i="5"/>
  <c r="F16" i="5"/>
  <c r="E4" i="5"/>
  <c r="F17" i="18"/>
  <c r="K67" i="18"/>
  <c r="I77" i="18"/>
  <c r="F6" i="18"/>
  <c r="F8" i="18"/>
  <c r="F10" i="18"/>
  <c r="I76" i="18"/>
  <c r="I73" i="18"/>
  <c r="G1" i="18"/>
  <c r="I70" i="18" l="1"/>
  <c r="F4" i="18" s="1"/>
  <c r="I71" i="18"/>
  <c r="F7" i="18" s="1"/>
  <c r="E7" i="5"/>
  <c r="F32" i="5"/>
  <c r="F7" i="5" s="1"/>
  <c r="G32" i="5"/>
  <c r="G7" i="5" s="1"/>
  <c r="H32" i="5"/>
  <c r="H7" i="5" s="1"/>
  <c r="E32" i="5"/>
  <c r="F25" i="5"/>
  <c r="G25" i="5"/>
  <c r="H25" i="5"/>
  <c r="E25" i="5"/>
  <c r="F18" i="5"/>
  <c r="G18" i="5"/>
  <c r="H18" i="5"/>
  <c r="E18" i="5"/>
  <c r="E59" i="3" l="1"/>
  <c r="F59" i="3"/>
  <c r="G59" i="3"/>
  <c r="D59" i="3"/>
  <c r="E33" i="3"/>
  <c r="F33" i="3"/>
  <c r="G33" i="3"/>
  <c r="E27" i="3"/>
  <c r="E25" i="3"/>
  <c r="F25" i="3"/>
  <c r="G25" i="3"/>
  <c r="D25" i="3"/>
  <c r="D26" i="3" s="1"/>
  <c r="E23" i="3"/>
  <c r="E24" i="3" s="1"/>
  <c r="F23" i="3"/>
  <c r="F27" i="3" s="1"/>
  <c r="G23" i="3"/>
  <c r="G27" i="3" s="1"/>
  <c r="D23" i="3"/>
  <c r="D27" i="3" s="1"/>
  <c r="E26" i="3" l="1"/>
  <c r="D38" i="3"/>
  <c r="E38" i="3"/>
  <c r="G24" i="3"/>
  <c r="G26" i="3" s="1"/>
  <c r="G38" i="3" s="1"/>
  <c r="F24" i="3"/>
  <c r="F26" i="3" s="1"/>
  <c r="F38" i="3" s="1"/>
  <c r="G43" i="3" l="1"/>
  <c r="G45" i="3" s="1"/>
  <c r="H5" i="3" s="1"/>
  <c r="H4" i="3"/>
  <c r="H10" i="3" s="1"/>
  <c r="F43" i="3"/>
  <c r="F45" i="3" s="1"/>
  <c r="G5" i="3" s="1"/>
  <c r="G4" i="3"/>
  <c r="G10" i="3" s="1"/>
  <c r="E43" i="3"/>
  <c r="E45" i="3" s="1"/>
  <c r="F5" i="3" s="1"/>
  <c r="F4" i="3"/>
  <c r="D43" i="3"/>
  <c r="D45" i="3" s="1"/>
  <c r="E5" i="3" s="1"/>
  <c r="E4" i="3"/>
  <c r="F18" i="14"/>
  <c r="G4" i="14" s="1"/>
  <c r="F4" i="14"/>
  <c r="D13" i="14"/>
  <c r="F59" i="13"/>
  <c r="E59" i="13"/>
  <c r="G5" i="13" s="1"/>
  <c r="D59" i="13"/>
  <c r="D14" i="14"/>
  <c r="E4" i="14"/>
  <c r="C41" i="13"/>
  <c r="H5" i="13"/>
  <c r="F5" i="13"/>
  <c r="C56" i="13"/>
  <c r="C51" i="13"/>
  <c r="C59" i="13" s="1"/>
  <c r="E5" i="13" s="1"/>
  <c r="C45" i="13"/>
  <c r="C42" i="13"/>
  <c r="C44" i="13" s="1"/>
  <c r="F10" i="3" l="1"/>
  <c r="J13" i="1"/>
  <c r="E10" i="3"/>
  <c r="H4" i="14"/>
  <c r="F9" i="8" l="1"/>
  <c r="G89" i="8"/>
  <c r="G81" i="8"/>
  <c r="J79" i="8"/>
  <c r="J81" i="8" s="1"/>
  <c r="I79" i="8"/>
  <c r="I81" i="8" s="1"/>
  <c r="H79" i="8"/>
  <c r="H81" i="8" s="1"/>
  <c r="J89" i="8" l="1"/>
  <c r="I89" i="8"/>
  <c r="H89" i="8"/>
  <c r="G64" i="8"/>
  <c r="H64" i="8" s="1"/>
  <c r="M64" i="8"/>
  <c r="N64" i="8" s="1"/>
  <c r="K64" i="8"/>
  <c r="L64" i="8" s="1"/>
  <c r="I64" i="8"/>
  <c r="J64" i="8" s="1"/>
  <c r="N63" i="8"/>
  <c r="L63" i="8"/>
  <c r="J63" i="8"/>
  <c r="N62" i="8"/>
  <c r="F51" i="8"/>
  <c r="M51" i="8"/>
  <c r="M53" i="8" s="1"/>
  <c r="K51" i="8"/>
  <c r="K53" i="8" s="1"/>
  <c r="I51" i="8"/>
  <c r="I53" i="8" s="1"/>
  <c r="G51" i="8"/>
  <c r="G53" i="8" s="1"/>
  <c r="F50" i="8"/>
  <c r="H50" i="8" s="1"/>
  <c r="F49" i="8"/>
  <c r="J49" i="8" s="1"/>
  <c r="F48" i="8"/>
  <c r="J48" i="8" s="1"/>
  <c r="F47" i="8"/>
  <c r="J47" i="8" s="1"/>
  <c r="H27" i="8"/>
  <c r="I27" i="8"/>
  <c r="J27" i="8"/>
  <c r="G27" i="8"/>
  <c r="M67" i="8" l="1"/>
  <c r="K67" i="8"/>
  <c r="N67" i="8"/>
  <c r="I8" i="8" s="1"/>
  <c r="I67" i="8"/>
  <c r="G67" i="8"/>
  <c r="H62" i="8"/>
  <c r="J62" i="8"/>
  <c r="J67" i="8" s="1"/>
  <c r="G8" i="8" s="1"/>
  <c r="L62" i="8"/>
  <c r="L67" i="8" s="1"/>
  <c r="H8" i="8" s="1"/>
  <c r="H63" i="8"/>
  <c r="L47" i="8"/>
  <c r="N47" i="8"/>
  <c r="N51" i="8"/>
  <c r="H47" i="8"/>
  <c r="H49" i="8"/>
  <c r="H51" i="8"/>
  <c r="H48" i="8"/>
  <c r="L51" i="8"/>
  <c r="N50" i="8"/>
  <c r="J51" i="8"/>
  <c r="L50" i="8"/>
  <c r="J50" i="8"/>
  <c r="N49" i="8"/>
  <c r="L49" i="8"/>
  <c r="N48" i="8"/>
  <c r="L48" i="8"/>
  <c r="H67" i="8" l="1"/>
  <c r="F8" i="8" s="1"/>
  <c r="L53" i="8"/>
  <c r="H7" i="8" s="1"/>
  <c r="H12" i="8" s="1"/>
  <c r="J53" i="8"/>
  <c r="G7" i="8" s="1"/>
  <c r="G12" i="8" s="1"/>
  <c r="N53" i="8"/>
  <c r="I7" i="8" s="1"/>
  <c r="I12" i="8" s="1"/>
  <c r="H53" i="8"/>
  <c r="F7" i="8" s="1"/>
  <c r="F12" i="8" s="1"/>
  <c r="H31" i="2" l="1"/>
  <c r="H27" i="2"/>
  <c r="D22" i="1" l="1"/>
  <c r="J22" i="1"/>
  <c r="L22" i="1"/>
  <c r="N22" i="1"/>
  <c r="P22" i="1"/>
  <c r="J23" i="1"/>
  <c r="P61" i="1"/>
  <c r="N61" i="1"/>
  <c r="L61" i="1"/>
  <c r="J61" i="1"/>
  <c r="P60" i="1"/>
  <c r="N60" i="1"/>
  <c r="L60" i="1"/>
  <c r="J60" i="1"/>
  <c r="P59" i="1"/>
  <c r="N59" i="1"/>
  <c r="L59" i="1"/>
  <c r="J59" i="1"/>
  <c r="H41" i="2"/>
  <c r="G41" i="2"/>
  <c r="H39" i="2"/>
  <c r="G39" i="2"/>
  <c r="P21" i="1" l="1"/>
  <c r="P23" i="1"/>
  <c r="N21" i="1"/>
  <c r="N23" i="1"/>
  <c r="L21" i="1"/>
  <c r="L23" i="1"/>
  <c r="J21" i="1"/>
  <c r="P17" i="1" l="1"/>
  <c r="N17" i="1"/>
  <c r="L17" i="1"/>
  <c r="J17" i="1"/>
  <c r="P1" i="22"/>
  <c r="P24" i="22" s="1"/>
  <c r="N1" i="22"/>
  <c r="N24" i="22" s="1"/>
  <c r="L1" i="22"/>
  <c r="L24" i="22" s="1"/>
  <c r="J1" i="22"/>
  <c r="J24" i="22" s="1"/>
  <c r="L2" i="23"/>
  <c r="P1" i="23"/>
  <c r="N1" i="23"/>
  <c r="L1" i="23"/>
  <c r="J1" i="23"/>
  <c r="N27" i="31"/>
  <c r="N28" i="31"/>
  <c r="N29" i="31"/>
  <c r="N30" i="31"/>
  <c r="N31" i="31"/>
  <c r="N32" i="31"/>
  <c r="N33" i="31"/>
  <c r="N34" i="31"/>
  <c r="N35" i="31"/>
  <c r="N36" i="31"/>
  <c r="N37" i="31"/>
  <c r="N38" i="31"/>
  <c r="N39" i="31"/>
  <c r="N40" i="31"/>
  <c r="N41" i="31"/>
  <c r="N42" i="31"/>
  <c r="N43" i="31"/>
  <c r="N44" i="31"/>
  <c r="N45" i="31"/>
  <c r="N46" i="31"/>
  <c r="N47" i="31"/>
  <c r="N48" i="31"/>
  <c r="N49" i="31"/>
  <c r="N50" i="31"/>
  <c r="N51" i="31"/>
  <c r="N52" i="31"/>
  <c r="N53" i="31"/>
  <c r="N54" i="31"/>
  <c r="N55" i="31"/>
  <c r="N56" i="31"/>
  <c r="N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26" i="31"/>
  <c r="S14" i="31"/>
  <c r="K27" i="31"/>
  <c r="S8" i="31" s="1"/>
  <c r="K28" i="31"/>
  <c r="K29" i="31"/>
  <c r="K30" i="31"/>
  <c r="K31" i="31"/>
  <c r="K32" i="31"/>
  <c r="K33" i="31"/>
  <c r="L33" i="31" s="1"/>
  <c r="K34" i="31"/>
  <c r="K35" i="31"/>
  <c r="K36" i="31"/>
  <c r="K37" i="31"/>
  <c r="K38" i="31"/>
  <c r="K39" i="31"/>
  <c r="K40" i="31"/>
  <c r="K41" i="31"/>
  <c r="K42" i="31"/>
  <c r="K43" i="31"/>
  <c r="K44" i="31"/>
  <c r="K45" i="31"/>
  <c r="K46" i="31"/>
  <c r="L46" i="31" s="1"/>
  <c r="K47" i="31"/>
  <c r="L47" i="31" s="1"/>
  <c r="K48" i="31"/>
  <c r="L48" i="31" s="1"/>
  <c r="K49" i="31"/>
  <c r="L49" i="31" s="1"/>
  <c r="K50" i="31"/>
  <c r="L50" i="31" s="1"/>
  <c r="K51" i="31"/>
  <c r="L51" i="31" s="1"/>
  <c r="K52" i="31"/>
  <c r="K53" i="31"/>
  <c r="K54" i="31"/>
  <c r="L54" i="31" s="1"/>
  <c r="K55" i="31"/>
  <c r="L55" i="31" s="1"/>
  <c r="K56" i="31"/>
  <c r="K26" i="31"/>
  <c r="S9" i="31" s="1"/>
  <c r="L56" i="31"/>
  <c r="L53" i="31"/>
  <c r="S15" i="31"/>
  <c r="G11" i="31"/>
  <c r="S6" i="31"/>
  <c r="L45" i="31"/>
  <c r="L52" i="31"/>
  <c r="D47" i="1"/>
  <c r="D48" i="1"/>
  <c r="D49" i="1"/>
  <c r="D50" i="1"/>
  <c r="D51" i="1"/>
  <c r="D46" i="1"/>
  <c r="D31" i="1"/>
  <c r="D32" i="1"/>
  <c r="D33" i="1"/>
  <c r="D34" i="1"/>
  <c r="D35" i="1"/>
  <c r="D36" i="1"/>
  <c r="D37" i="1"/>
  <c r="D38" i="1"/>
  <c r="D39" i="1"/>
  <c r="D40" i="1"/>
  <c r="D41" i="1"/>
  <c r="D42" i="1"/>
  <c r="D43" i="1"/>
  <c r="D30" i="1"/>
  <c r="J20" i="8"/>
  <c r="I5" i="8" s="1"/>
  <c r="P46" i="1" s="1"/>
  <c r="I20" i="8"/>
  <c r="H5" i="8" s="1"/>
  <c r="N46" i="1" s="1"/>
  <c r="H20" i="8"/>
  <c r="G5" i="8" s="1"/>
  <c r="L46" i="1" s="1"/>
  <c r="G20" i="8"/>
  <c r="F5" i="8" s="1"/>
  <c r="J46" i="1" s="1"/>
  <c r="P48" i="1"/>
  <c r="N48" i="1"/>
  <c r="L48" i="1"/>
  <c r="J48" i="1"/>
  <c r="I6" i="8"/>
  <c r="P47" i="1" s="1"/>
  <c r="H6" i="8"/>
  <c r="N47" i="1" s="1"/>
  <c r="G6" i="8"/>
  <c r="L47" i="1" s="1"/>
  <c r="F6" i="8"/>
  <c r="J47" i="1" s="1"/>
  <c r="P49" i="1"/>
  <c r="N49" i="1"/>
  <c r="L49" i="1"/>
  <c r="J49" i="1"/>
  <c r="I9" i="8"/>
  <c r="P50" i="1" s="1"/>
  <c r="H9" i="8"/>
  <c r="N50" i="1" s="1"/>
  <c r="G9" i="8"/>
  <c r="L50" i="1" s="1"/>
  <c r="J50" i="1"/>
  <c r="L6" i="18"/>
  <c r="L9" i="18"/>
  <c r="L10" i="18"/>
  <c r="L11" i="18"/>
  <c r="L14" i="18"/>
  <c r="J57" i="18"/>
  <c r="K57" i="18" s="1"/>
  <c r="J56" i="18"/>
  <c r="K56" i="18" s="1"/>
  <c r="J55" i="18"/>
  <c r="K55" i="18" s="1"/>
  <c r="J54" i="18"/>
  <c r="K54" i="18" s="1"/>
  <c r="J53" i="18"/>
  <c r="K53" i="18" s="1"/>
  <c r="J52" i="18"/>
  <c r="K52" i="18" s="1"/>
  <c r="J51" i="18"/>
  <c r="K51" i="18" s="1"/>
  <c r="J50" i="18"/>
  <c r="K50" i="18" s="1"/>
  <c r="J49" i="18"/>
  <c r="K49" i="18" s="1"/>
  <c r="I52" i="18"/>
  <c r="I53" i="18"/>
  <c r="I54" i="18"/>
  <c r="I55" i="18"/>
  <c r="I56" i="18"/>
  <c r="I57" i="18"/>
  <c r="J48" i="18"/>
  <c r="K48" i="18" s="1"/>
  <c r="L7" i="18" s="1"/>
  <c r="J47" i="18"/>
  <c r="K47" i="18" s="1"/>
  <c r="J46" i="18"/>
  <c r="K46" i="18" s="1"/>
  <c r="L8" i="18" s="1"/>
  <c r="J45" i="18"/>
  <c r="K45" i="18" s="1"/>
  <c r="J44" i="18"/>
  <c r="K44" i="18" s="1"/>
  <c r="J43" i="18"/>
  <c r="K43" i="18" s="1"/>
  <c r="J42" i="18"/>
  <c r="K42" i="18" s="1"/>
  <c r="J69" i="18" l="1"/>
  <c r="I69" i="18" s="1"/>
  <c r="J74" i="18"/>
  <c r="M54" i="18"/>
  <c r="L54" i="18"/>
  <c r="M53" i="18"/>
  <c r="L53" i="18"/>
  <c r="L16" i="18"/>
  <c r="L55" i="18"/>
  <c r="M55" i="18"/>
  <c r="L4" i="18"/>
  <c r="I74" i="18"/>
  <c r="L12" i="18"/>
  <c r="L52" i="18"/>
  <c r="M52" i="18"/>
  <c r="M57" i="18"/>
  <c r="L57" i="18"/>
  <c r="M56" i="18"/>
  <c r="L56" i="18"/>
  <c r="S7" i="31"/>
  <c r="L26" i="31"/>
  <c r="J40" i="18" l="1"/>
  <c r="K40" i="18" s="1"/>
  <c r="J39" i="18"/>
  <c r="K39" i="18" s="1"/>
  <c r="J67" i="18" s="1"/>
  <c r="J38" i="18"/>
  <c r="K38" i="18" s="1"/>
  <c r="J37" i="18"/>
  <c r="K37" i="18" s="1"/>
  <c r="J36" i="18"/>
  <c r="K36" i="18" s="1"/>
  <c r="J35" i="18"/>
  <c r="K35" i="18" s="1"/>
  <c r="J34" i="18"/>
  <c r="K34" i="18" s="1"/>
  <c r="J33" i="18"/>
  <c r="K33" i="18" s="1"/>
  <c r="J32" i="18"/>
  <c r="K32" i="18" s="1"/>
  <c r="J31" i="18"/>
  <c r="K31" i="18" s="1"/>
  <c r="J30" i="18"/>
  <c r="K30" i="18" s="1"/>
  <c r="L17" i="18" s="1"/>
  <c r="I43" i="1" s="1"/>
  <c r="J29" i="18"/>
  <c r="K29" i="18" s="1"/>
  <c r="J28" i="18"/>
  <c r="I67" i="18" l="1"/>
  <c r="F13" i="18" s="1"/>
  <c r="K28" i="18"/>
  <c r="L13" i="18"/>
  <c r="L15" i="18"/>
  <c r="F15" i="18"/>
  <c r="I29" i="18"/>
  <c r="I30" i="18"/>
  <c r="I31" i="18"/>
  <c r="I32" i="18"/>
  <c r="I33" i="18"/>
  <c r="I34" i="18"/>
  <c r="I35" i="18"/>
  <c r="I36" i="18"/>
  <c r="I37" i="18"/>
  <c r="I38" i="18"/>
  <c r="I39" i="18"/>
  <c r="I40" i="18"/>
  <c r="I41" i="18"/>
  <c r="I42" i="18"/>
  <c r="I43" i="18"/>
  <c r="I44" i="18"/>
  <c r="I45" i="18"/>
  <c r="I46" i="18"/>
  <c r="I47" i="18"/>
  <c r="I48" i="18"/>
  <c r="I49" i="18"/>
  <c r="I50" i="18"/>
  <c r="I51" i="18"/>
  <c r="I28" i="18"/>
  <c r="D26" i="1"/>
  <c r="D27" i="1"/>
  <c r="D25" i="1"/>
  <c r="D20" i="1"/>
  <c r="D21" i="1"/>
  <c r="D23" i="1"/>
  <c r="D19" i="1"/>
  <c r="D14" i="1"/>
  <c r="D15" i="1"/>
  <c r="D16" i="1"/>
  <c r="D17" i="1"/>
  <c r="D13" i="1"/>
  <c r="G5" i="18" l="1"/>
  <c r="J5" i="18" s="1"/>
  <c r="G15" i="18"/>
  <c r="J15" i="18" s="1"/>
  <c r="G12" i="18"/>
  <c r="J12" i="18" s="1"/>
  <c r="J66" i="18"/>
  <c r="I66" i="18" s="1"/>
  <c r="F5" i="18" s="1"/>
  <c r="G4" i="18"/>
  <c r="L5" i="18"/>
  <c r="M50" i="18"/>
  <c r="L50" i="18"/>
  <c r="M34" i="18"/>
  <c r="L34" i="18"/>
  <c r="M41" i="18"/>
  <c r="L41" i="18"/>
  <c r="M33" i="18"/>
  <c r="L33" i="18"/>
  <c r="L48" i="18"/>
  <c r="M48" i="18"/>
  <c r="G7" i="18"/>
  <c r="J7" i="18" s="1"/>
  <c r="L40" i="18"/>
  <c r="M40" i="18"/>
  <c r="M32" i="18"/>
  <c r="L32" i="18"/>
  <c r="M47" i="18"/>
  <c r="L47" i="18"/>
  <c r="M39" i="18"/>
  <c r="L39" i="18"/>
  <c r="M31" i="18"/>
  <c r="L31" i="18"/>
  <c r="M38" i="18"/>
  <c r="L38" i="18"/>
  <c r="M30" i="18"/>
  <c r="L30" i="18"/>
  <c r="M45" i="18"/>
  <c r="L45" i="18"/>
  <c r="M37" i="18"/>
  <c r="L37" i="18"/>
  <c r="M29" i="18"/>
  <c r="L29" i="18"/>
  <c r="M28" i="18"/>
  <c r="L28" i="18"/>
  <c r="M44" i="18"/>
  <c r="L44" i="18"/>
  <c r="M36" i="18"/>
  <c r="L36" i="18"/>
  <c r="M42" i="18"/>
  <c r="L42" i="18"/>
  <c r="M49" i="18"/>
  <c r="L49" i="18"/>
  <c r="M51" i="18"/>
  <c r="L51" i="18"/>
  <c r="L43" i="18"/>
  <c r="M43" i="18"/>
  <c r="L35" i="18"/>
  <c r="M35" i="18"/>
  <c r="I58" i="18"/>
  <c r="L46" i="18"/>
  <c r="M46" i="18"/>
  <c r="H7" i="3"/>
  <c r="P16" i="1" s="1"/>
  <c r="G7" i="3"/>
  <c r="N16" i="1" s="1"/>
  <c r="F7" i="3"/>
  <c r="L16" i="1" s="1"/>
  <c r="E7" i="3"/>
  <c r="J16" i="1" s="1"/>
  <c r="F6" i="3"/>
  <c r="L15" i="1" s="1"/>
  <c r="G6" i="3"/>
  <c r="N15" i="1" s="1"/>
  <c r="H6" i="3"/>
  <c r="P15" i="1" s="1"/>
  <c r="E6" i="3"/>
  <c r="J15" i="1" s="1"/>
  <c r="L13" i="1"/>
  <c r="N13" i="1"/>
  <c r="P13" i="1"/>
  <c r="G40" i="2"/>
  <c r="H43" i="2"/>
  <c r="G43" i="2"/>
  <c r="H42" i="2"/>
  <c r="G42" i="2"/>
  <c r="H40" i="2"/>
  <c r="H49" i="2"/>
  <c r="H48" i="2"/>
  <c r="G49" i="2"/>
  <c r="G48" i="2"/>
  <c r="H30" i="2"/>
  <c r="G30" i="2"/>
  <c r="G31" i="2"/>
  <c r="H32" i="2"/>
  <c r="G32" i="2"/>
  <c r="H33" i="2"/>
  <c r="G33" i="2"/>
  <c r="H29" i="2"/>
  <c r="G27" i="2"/>
  <c r="H26" i="2"/>
  <c r="G26" i="2"/>
  <c r="H24" i="2"/>
  <c r="G24" i="2"/>
  <c r="H19" i="2"/>
  <c r="G19" i="2"/>
  <c r="H18" i="2"/>
  <c r="G18" i="2"/>
  <c r="H17" i="2"/>
  <c r="G17" i="2"/>
  <c r="H16" i="2"/>
  <c r="G16" i="2"/>
  <c r="M4" i="18" l="1"/>
  <c r="J4" i="18"/>
  <c r="J41" i="1"/>
  <c r="M15" i="18"/>
  <c r="M7" i="18"/>
  <c r="J33" i="1"/>
  <c r="G58" i="18"/>
  <c r="G14" i="18"/>
  <c r="H45" i="2"/>
  <c r="M14" i="18" l="1"/>
  <c r="J14" i="18"/>
  <c r="G63" i="31"/>
  <c r="G17" i="12"/>
  <c r="G7" i="2" l="1"/>
  <c r="H7" i="2"/>
  <c r="P8" i="1" s="1"/>
  <c r="G17" i="18"/>
  <c r="J17" i="18" s="1"/>
  <c r="G6" i="18"/>
  <c r="J6" i="18" s="1"/>
  <c r="G10" i="18"/>
  <c r="J10" i="18" s="1"/>
  <c r="J40" i="1"/>
  <c r="G16" i="18"/>
  <c r="J16" i="18" s="1"/>
  <c r="G8" i="18"/>
  <c r="J8" i="18" s="1"/>
  <c r="J42" i="1" l="1"/>
  <c r="M16" i="18"/>
  <c r="J36" i="1"/>
  <c r="M10" i="18"/>
  <c r="J32" i="1"/>
  <c r="M6" i="18"/>
  <c r="J43" i="1"/>
  <c r="M17" i="18"/>
  <c r="J38" i="1"/>
  <c r="M12" i="18"/>
  <c r="J34" i="1"/>
  <c r="M8" i="18"/>
  <c r="N8" i="1"/>
  <c r="L19" i="18"/>
  <c r="I14" i="18"/>
  <c r="N40" i="1" s="1"/>
  <c r="G11" i="18"/>
  <c r="H14" i="18"/>
  <c r="L40" i="1" s="1"/>
  <c r="G13" i="18"/>
  <c r="J13" i="18" s="1"/>
  <c r="J11" i="18" l="1"/>
  <c r="J37" i="1"/>
  <c r="J39" i="1"/>
  <c r="M13" i="18"/>
  <c r="M11" i="18"/>
  <c r="J31" i="1"/>
  <c r="M5" i="18"/>
  <c r="J30" i="1"/>
  <c r="F34" i="4"/>
  <c r="F35" i="4" s="1"/>
  <c r="F21" i="4"/>
  <c r="G21" i="4"/>
  <c r="H21" i="4"/>
  <c r="I21" i="4"/>
  <c r="J14" i="1"/>
  <c r="P14" i="1"/>
  <c r="P12" i="1" s="1"/>
  <c r="H51" i="2"/>
  <c r="G51" i="2"/>
  <c r="F8" i="2" s="1"/>
  <c r="L9" i="1" s="1"/>
  <c r="F51" i="2"/>
  <c r="E8" i="2" s="1"/>
  <c r="J9" i="1" s="1"/>
  <c r="F45" i="2"/>
  <c r="E7" i="2" s="1"/>
  <c r="J8" i="1" s="1"/>
  <c r="I22" i="4" l="1"/>
  <c r="H4" i="4"/>
  <c r="P25" i="1" s="1"/>
  <c r="G4" i="4"/>
  <c r="N25" i="1" s="1"/>
  <c r="H22" i="4"/>
  <c r="F4" i="4"/>
  <c r="L25" i="1" s="1"/>
  <c r="G22" i="4"/>
  <c r="E4" i="4"/>
  <c r="J25" i="1" s="1"/>
  <c r="F22" i="4"/>
  <c r="P30" i="1"/>
  <c r="G8" i="2"/>
  <c r="N9" i="1" s="1"/>
  <c r="H8" i="2"/>
  <c r="P9" i="1" s="1"/>
  <c r="G45" i="2"/>
  <c r="F7" i="2" s="1"/>
  <c r="L8" i="1" s="1"/>
  <c r="G35" i="2" l="1"/>
  <c r="F6" i="2" s="1"/>
  <c r="L7" i="1" s="1"/>
  <c r="H35" i="2"/>
  <c r="F35" i="2"/>
  <c r="E6" i="2" s="1"/>
  <c r="J7" i="1" s="1"/>
  <c r="G6" i="2" l="1"/>
  <c r="H6" i="2"/>
  <c r="P7" i="1" s="1"/>
  <c r="G21" i="2"/>
  <c r="F5" i="2" s="1"/>
  <c r="H21" i="2"/>
  <c r="F21" i="2"/>
  <c r="E5" i="2" s="1"/>
  <c r="J6" i="1" l="1"/>
  <c r="J5" i="1" s="1"/>
  <c r="L6" i="1"/>
  <c r="L5" i="1" s="1"/>
  <c r="N7" i="1"/>
  <c r="G5" i="2"/>
  <c r="N6" i="1" s="1"/>
  <c r="H5" i="2"/>
  <c r="F17" i="12"/>
  <c r="F4" i="12" s="1"/>
  <c r="H4" i="12"/>
  <c r="E17" i="12"/>
  <c r="P6" i="1" l="1"/>
  <c r="P5" i="1" s="1"/>
  <c r="N5" i="1"/>
  <c r="E4" i="12"/>
  <c r="G4" i="12"/>
  <c r="L27" i="31" l="1"/>
  <c r="L28" i="31"/>
  <c r="L29" i="31"/>
  <c r="L30" i="31"/>
  <c r="L34" i="31"/>
  <c r="L35" i="31"/>
  <c r="L43" i="31"/>
  <c r="L42" i="31" l="1"/>
  <c r="L32" i="31"/>
  <c r="L41" i="31"/>
  <c r="L31" i="31"/>
  <c r="L40" i="31"/>
  <c r="L39" i="31"/>
  <c r="L38" i="31"/>
  <c r="L37" i="31"/>
  <c r="L44" i="31"/>
  <c r="L36" i="31"/>
  <c r="F11" i="18"/>
  <c r="F16" i="18"/>
  <c r="F9" i="18" l="1"/>
  <c r="I75" i="18"/>
  <c r="F14" i="18" s="1"/>
  <c r="P40" i="1" s="1"/>
  <c r="S13" i="31"/>
  <c r="S17" i="31"/>
  <c r="S18" i="31"/>
  <c r="G9" i="18" l="1"/>
  <c r="F19" i="18"/>
  <c r="J9" i="18"/>
  <c r="J19" i="18" s="1"/>
  <c r="J35" i="1"/>
  <c r="J29" i="1" s="1"/>
  <c r="E4" i="7" s="1"/>
  <c r="M9" i="18"/>
  <c r="I79" i="18"/>
  <c r="I80" i="18" s="1"/>
  <c r="S16" i="31"/>
  <c r="A49" i="26"/>
  <c r="A4" i="26"/>
  <c r="D53" i="26"/>
  <c r="I92" i="8" l="1"/>
  <c r="H10" i="8" s="1"/>
  <c r="N51" i="1" s="1"/>
  <c r="N45" i="1" s="1"/>
  <c r="N52" i="1" s="1"/>
  <c r="J92" i="8"/>
  <c r="I10" i="8" s="1"/>
  <c r="P51" i="1" s="1"/>
  <c r="P45" i="1" s="1"/>
  <c r="P52" i="1" s="1"/>
  <c r="H92" i="8"/>
  <c r="G10" i="8" s="1"/>
  <c r="L51" i="1" s="1"/>
  <c r="L45" i="1" s="1"/>
  <c r="L52" i="1" s="1"/>
  <c r="G92" i="8"/>
  <c r="F10" i="8" s="1"/>
  <c r="J51" i="1" s="1"/>
  <c r="J45" i="1" s="1"/>
  <c r="N2" i="23" l="1"/>
  <c r="G71" i="31" l="1"/>
  <c r="G79" i="31"/>
  <c r="G78" i="31"/>
  <c r="E3" i="33"/>
  <c r="E4" i="33" s="1"/>
  <c r="D3" i="33"/>
  <c r="D4" i="33" s="1"/>
  <c r="C3" i="33"/>
  <c r="C4" i="33" s="1"/>
  <c r="B3" i="33"/>
  <c r="B4" i="33" s="1"/>
  <c r="I29" i="23"/>
  <c r="I28" i="23"/>
  <c r="I27" i="23"/>
  <c r="I29" i="22"/>
  <c r="I28" i="22"/>
  <c r="I27" i="22"/>
  <c r="G81" i="31" l="1"/>
  <c r="G82" i="31"/>
  <c r="N54" i="22"/>
  <c r="L53" i="22"/>
  <c r="P54" i="22"/>
  <c r="G83" i="31" l="1"/>
  <c r="L53" i="23" l="1"/>
  <c r="G46" i="4"/>
  <c r="H46" i="4"/>
  <c r="I46" i="4"/>
  <c r="F46" i="4"/>
  <c r="F53" i="4" s="1"/>
  <c r="G34" i="4"/>
  <c r="H34" i="4"/>
  <c r="I34" i="4"/>
  <c r="G5" i="4" l="1"/>
  <c r="N26" i="1" s="1"/>
  <c r="H35" i="4"/>
  <c r="F5" i="4"/>
  <c r="L26" i="1" s="1"/>
  <c r="G35" i="4"/>
  <c r="F47" i="4"/>
  <c r="H6" i="4"/>
  <c r="P27" i="1" s="1"/>
  <c r="I47" i="4"/>
  <c r="I53" i="4"/>
  <c r="I56" i="4" s="1"/>
  <c r="G6" i="4"/>
  <c r="N27" i="1" s="1"/>
  <c r="H47" i="4"/>
  <c r="H53" i="4"/>
  <c r="H56" i="4" s="1"/>
  <c r="F6" i="4"/>
  <c r="L27" i="1" s="1"/>
  <c r="G47" i="4"/>
  <c r="G53" i="4"/>
  <c r="G56" i="4" s="1"/>
  <c r="H5" i="4"/>
  <c r="P26" i="1" s="1"/>
  <c r="I35" i="4"/>
  <c r="E5" i="4"/>
  <c r="J26" i="1" s="1"/>
  <c r="I30" i="22"/>
  <c r="I26" i="22" s="1"/>
  <c r="I30" i="23"/>
  <c r="I26" i="23" s="1"/>
  <c r="F56" i="4"/>
  <c r="E6" i="4"/>
  <c r="J27" i="1" s="1"/>
  <c r="G57" i="4" l="1"/>
  <c r="F7" i="4"/>
  <c r="L28" i="1" s="1"/>
  <c r="L24" i="1" s="1"/>
  <c r="H57" i="4"/>
  <c r="G7" i="4"/>
  <c r="N28" i="1" s="1"/>
  <c r="N24" i="1" s="1"/>
  <c r="E7" i="4"/>
  <c r="J28" i="1" s="1"/>
  <c r="J24" i="1" s="1"/>
  <c r="F57" i="4"/>
  <c r="I57" i="4"/>
  <c r="H7" i="4"/>
  <c r="P28" i="1" s="1"/>
  <c r="P24" i="1" s="1"/>
  <c r="F58" i="2"/>
  <c r="E9" i="2" s="1"/>
  <c r="J10" i="1" s="1"/>
  <c r="E7" i="7" l="1"/>
  <c r="J44" i="1" s="1"/>
  <c r="G58" i="2"/>
  <c r="F9" i="2" s="1"/>
  <c r="L10" i="1" s="1"/>
  <c r="H58" i="2"/>
  <c r="G9" i="2" s="1"/>
  <c r="N10" i="1" s="1"/>
  <c r="I58" i="2"/>
  <c r="H9" i="2" s="1"/>
  <c r="P10" i="1" s="1"/>
  <c r="F61" i="2" l="1"/>
  <c r="F64" i="2" s="1"/>
  <c r="E10" i="2" s="1"/>
  <c r="J34" i="23"/>
  <c r="J34" i="22"/>
  <c r="E12" i="2" l="1"/>
  <c r="J11" i="1"/>
  <c r="J4" i="1" s="1"/>
  <c r="J53" i="1" s="1"/>
  <c r="B55" i="26"/>
  <c r="J6" i="23" l="1"/>
  <c r="J55" i="1"/>
  <c r="J63" i="22"/>
  <c r="B68" i="26" s="1"/>
  <c r="J63" i="23"/>
  <c r="K5" i="1" l="1"/>
  <c r="K46" i="1"/>
  <c r="K45" i="1"/>
  <c r="K44" i="1"/>
  <c r="I16" i="18"/>
  <c r="N42" i="1" s="1"/>
  <c r="H16" i="18"/>
  <c r="L42" i="1" s="1"/>
  <c r="I6" i="18"/>
  <c r="N32" i="1" s="1"/>
  <c r="H6" i="18"/>
  <c r="L32" i="1" s="1"/>
  <c r="P32" i="1" l="1"/>
  <c r="P42" i="1"/>
  <c r="H4" i="18"/>
  <c r="L30" i="1" s="1"/>
  <c r="L34" i="22"/>
  <c r="J40" i="22"/>
  <c r="I37" i="23"/>
  <c r="I37" i="22"/>
  <c r="I44" i="22"/>
  <c r="I44" i="23"/>
  <c r="I36" i="22"/>
  <c r="I36" i="23"/>
  <c r="I32" i="22"/>
  <c r="I32" i="23"/>
  <c r="I40" i="22"/>
  <c r="I40" i="23"/>
  <c r="J44" i="23"/>
  <c r="J44" i="22"/>
  <c r="I38" i="22"/>
  <c r="I38" i="23"/>
  <c r="I35" i="22"/>
  <c r="I35" i="23"/>
  <c r="I40" i="1"/>
  <c r="I42" i="22"/>
  <c r="I42" i="23"/>
  <c r="I34" i="22"/>
  <c r="I34" i="23"/>
  <c r="I36" i="1"/>
  <c r="I30" i="1"/>
  <c r="I35" i="1"/>
  <c r="I42" i="1"/>
  <c r="I34" i="1"/>
  <c r="I33" i="1"/>
  <c r="I32" i="1"/>
  <c r="I10" i="18"/>
  <c r="N36" i="1" s="1"/>
  <c r="I38" i="1"/>
  <c r="I9" i="18"/>
  <c r="N35" i="1" s="1"/>
  <c r="H9" i="18"/>
  <c r="L35" i="1" s="1"/>
  <c r="H8" i="18"/>
  <c r="L34" i="1" s="1"/>
  <c r="I8" i="18"/>
  <c r="N34" i="1" s="1"/>
  <c r="H10" i="18"/>
  <c r="L36" i="1" s="1"/>
  <c r="P35" i="1" l="1"/>
  <c r="P36" i="1"/>
  <c r="P34" i="1"/>
  <c r="L34" i="23"/>
  <c r="I33" i="22"/>
  <c r="I39" i="23"/>
  <c r="J40" i="23"/>
  <c r="I37" i="1"/>
  <c r="I39" i="22"/>
  <c r="H12" i="18"/>
  <c r="L38" i="1" s="1"/>
  <c r="I31" i="1"/>
  <c r="I33" i="23"/>
  <c r="I39" i="1"/>
  <c r="I41" i="23"/>
  <c r="I41" i="22"/>
  <c r="L44" i="22"/>
  <c r="L44" i="23"/>
  <c r="I43" i="22"/>
  <c r="I43" i="23"/>
  <c r="J36" i="23"/>
  <c r="J36" i="22"/>
  <c r="N44" i="22"/>
  <c r="N44" i="23"/>
  <c r="J37" i="23"/>
  <c r="J37" i="22"/>
  <c r="N34" i="22"/>
  <c r="N34" i="23"/>
  <c r="I41" i="1"/>
  <c r="J32" i="22"/>
  <c r="J32" i="23"/>
  <c r="P34" i="22"/>
  <c r="P34" i="23"/>
  <c r="P44" i="22"/>
  <c r="P44" i="23"/>
  <c r="J38" i="22"/>
  <c r="J38" i="23"/>
  <c r="J35" i="22"/>
  <c r="J35" i="23"/>
  <c r="I12" i="18"/>
  <c r="N38" i="1" s="1"/>
  <c r="I4" i="18"/>
  <c r="N30" i="1" s="1"/>
  <c r="H11" i="18"/>
  <c r="L37" i="1" s="1"/>
  <c r="I11" i="18"/>
  <c r="N37" i="1" s="1"/>
  <c r="P38" i="1" l="1"/>
  <c r="P33" i="1"/>
  <c r="P41" i="1"/>
  <c r="P43" i="22" s="1"/>
  <c r="P37" i="1"/>
  <c r="G19" i="18"/>
  <c r="E12" i="15" s="1"/>
  <c r="E15" i="15" s="1"/>
  <c r="I17" i="18"/>
  <c r="N43" i="1" s="1"/>
  <c r="J45" i="22"/>
  <c r="J45" i="23"/>
  <c r="H17" i="18"/>
  <c r="L43" i="1" s="1"/>
  <c r="I13" i="18"/>
  <c r="N39" i="1" s="1"/>
  <c r="I31" i="23"/>
  <c r="I57" i="23" s="1"/>
  <c r="I29" i="1"/>
  <c r="I31" i="22"/>
  <c r="I57" i="22" s="1"/>
  <c r="H15" i="18"/>
  <c r="L41" i="1" s="1"/>
  <c r="N40" i="23"/>
  <c r="H13" i="18"/>
  <c r="L39" i="1" s="1"/>
  <c r="I15" i="18"/>
  <c r="N41" i="1" s="1"/>
  <c r="L37" i="22"/>
  <c r="L37" i="23"/>
  <c r="L38" i="22"/>
  <c r="L38" i="23"/>
  <c r="J33" i="22"/>
  <c r="J33" i="23"/>
  <c r="J43" i="22"/>
  <c r="J43" i="23"/>
  <c r="N36" i="22"/>
  <c r="N36" i="23"/>
  <c r="L36" i="22"/>
  <c r="L36" i="23"/>
  <c r="N37" i="22"/>
  <c r="N37" i="23"/>
  <c r="P37" i="22"/>
  <c r="P37" i="23"/>
  <c r="P38" i="23"/>
  <c r="P38" i="22"/>
  <c r="N38" i="22"/>
  <c r="N38" i="23"/>
  <c r="J39" i="23"/>
  <c r="J39" i="22"/>
  <c r="J41" i="22"/>
  <c r="J41" i="23"/>
  <c r="P36" i="22"/>
  <c r="P36" i="23"/>
  <c r="I7" i="18"/>
  <c r="N33" i="1" s="1"/>
  <c r="H7" i="18"/>
  <c r="L33" i="1" s="1"/>
  <c r="I5" i="18"/>
  <c r="N31" i="1" s="1"/>
  <c r="H5" i="18"/>
  <c r="L31" i="1" s="1"/>
  <c r="N29" i="1" l="1"/>
  <c r="G4" i="7" s="1"/>
  <c r="G7" i="7" s="1"/>
  <c r="N44" i="1" s="1"/>
  <c r="P43" i="23"/>
  <c r="L29" i="1"/>
  <c r="F4" i="7" s="1"/>
  <c r="F7" i="7" s="1"/>
  <c r="L44" i="1" s="1"/>
  <c r="P43" i="1"/>
  <c r="P45" i="22" s="1"/>
  <c r="E5" i="15"/>
  <c r="J62" i="1" s="1"/>
  <c r="E8" i="16"/>
  <c r="E11" i="16" s="1"/>
  <c r="E4" i="16" s="1"/>
  <c r="J63" i="1" s="1"/>
  <c r="P31" i="1"/>
  <c r="P39" i="1"/>
  <c r="P41" i="22" s="1"/>
  <c r="G20" i="18"/>
  <c r="G21" i="18" s="1"/>
  <c r="N41" i="22"/>
  <c r="L45" i="22"/>
  <c r="N35" i="22"/>
  <c r="L43" i="22"/>
  <c r="L41" i="22"/>
  <c r="N40" i="22"/>
  <c r="J42" i="23"/>
  <c r="J42" i="22"/>
  <c r="L39" i="22"/>
  <c r="L39" i="23"/>
  <c r="N39" i="22"/>
  <c r="N39" i="23"/>
  <c r="P39" i="22"/>
  <c r="P39" i="23"/>
  <c r="P35" i="22"/>
  <c r="P35" i="23"/>
  <c r="N43" i="22"/>
  <c r="N43" i="23"/>
  <c r="N32" i="22"/>
  <c r="N32" i="23"/>
  <c r="P32" i="22"/>
  <c r="P32" i="23"/>
  <c r="P40" i="22"/>
  <c r="P40" i="23"/>
  <c r="L32" i="22"/>
  <c r="L32" i="23"/>
  <c r="L40" i="22"/>
  <c r="L40" i="23"/>
  <c r="P41" i="23" l="1"/>
  <c r="P29" i="1"/>
  <c r="H4" i="7" s="1"/>
  <c r="H7" i="7" s="1"/>
  <c r="P44" i="1" s="1"/>
  <c r="J20" i="18"/>
  <c r="J21" i="18" s="1"/>
  <c r="H12" i="15"/>
  <c r="H15" i="15" s="1"/>
  <c r="N41" i="23"/>
  <c r="L45" i="23"/>
  <c r="N35" i="23"/>
  <c r="P45" i="23"/>
  <c r="N45" i="22"/>
  <c r="N45" i="23"/>
  <c r="H19" i="18"/>
  <c r="I19" i="18"/>
  <c r="L41" i="23"/>
  <c r="L43" i="23"/>
  <c r="L42" i="23"/>
  <c r="N33" i="22"/>
  <c r="N33" i="23"/>
  <c r="L35" i="22"/>
  <c r="L35" i="23"/>
  <c r="L33" i="22"/>
  <c r="L33" i="23"/>
  <c r="P33" i="22"/>
  <c r="P33" i="23"/>
  <c r="I61" i="2" l="1"/>
  <c r="P31" i="22"/>
  <c r="I20" i="18"/>
  <c r="I21" i="18" s="1"/>
  <c r="G12" i="15"/>
  <c r="G15" i="15" s="1"/>
  <c r="H5" i="15"/>
  <c r="P62" i="1" s="1"/>
  <c r="H8" i="16"/>
  <c r="H11" i="16" s="1"/>
  <c r="H4" i="16" s="1"/>
  <c r="P63" i="1" s="1"/>
  <c r="H20" i="18"/>
  <c r="F12" i="15"/>
  <c r="F15" i="15" s="1"/>
  <c r="P42" i="23"/>
  <c r="P42" i="22"/>
  <c r="L42" i="22"/>
  <c r="N42" i="22"/>
  <c r="N42" i="23"/>
  <c r="F5" i="15" l="1"/>
  <c r="L62" i="1" s="1"/>
  <c r="F8" i="16"/>
  <c r="F11" i="16" s="1"/>
  <c r="F4" i="16" s="1"/>
  <c r="L63" i="1" s="1"/>
  <c r="G5" i="15"/>
  <c r="N62" i="1" s="1"/>
  <c r="G8" i="16"/>
  <c r="G11" i="16" s="1"/>
  <c r="G4" i="16" s="1"/>
  <c r="N63" i="1" s="1"/>
  <c r="F5" i="5"/>
  <c r="L20" i="1" s="1"/>
  <c r="G5" i="5"/>
  <c r="N20" i="1" s="1"/>
  <c r="H5" i="5"/>
  <c r="P20" i="1" s="1"/>
  <c r="E5" i="5" l="1"/>
  <c r="J20" i="1" s="1"/>
  <c r="E10" i="5" l="1"/>
  <c r="J19" i="1"/>
  <c r="J18" i="1" s="1"/>
  <c r="N18" i="22"/>
  <c r="N18" i="23"/>
  <c r="F4" i="5"/>
  <c r="L19" i="1" s="1"/>
  <c r="L18" i="1" s="1"/>
  <c r="G4" i="5"/>
  <c r="N19" i="1" s="1"/>
  <c r="N18" i="1" s="1"/>
  <c r="H4" i="5"/>
  <c r="H10" i="5" l="1"/>
  <c r="P19" i="1"/>
  <c r="P18" i="1" s="1"/>
  <c r="E4" i="11"/>
  <c r="J58" i="1" s="1"/>
  <c r="G10" i="5"/>
  <c r="F10" i="5"/>
  <c r="N14" i="1"/>
  <c r="N12" i="1" s="1"/>
  <c r="H61" i="2" s="1"/>
  <c r="L14" i="1"/>
  <c r="L12" i="1" s="1"/>
  <c r="G61" i="2" s="1"/>
  <c r="J57" i="1" l="1"/>
  <c r="J65" i="1" s="1"/>
  <c r="K22" i="1"/>
  <c r="K12" i="1"/>
  <c r="I28" i="1"/>
  <c r="I8" i="4" l="1"/>
  <c r="I7" i="4"/>
  <c r="I6" i="4"/>
  <c r="I5" i="4"/>
  <c r="I4" i="4"/>
  <c r="D7" i="4"/>
  <c r="I27" i="1"/>
  <c r="I26" i="1"/>
  <c r="I25" i="1"/>
  <c r="D28" i="1" l="1"/>
  <c r="D30" i="22"/>
  <c r="D30" i="23"/>
  <c r="D29" i="22"/>
  <c r="D29" i="23"/>
  <c r="D28" i="22"/>
  <c r="D28" i="23"/>
  <c r="D27" i="22"/>
  <c r="D27" i="23"/>
  <c r="J23" i="22"/>
  <c r="J23" i="23"/>
  <c r="L21" i="22"/>
  <c r="L21" i="23"/>
  <c r="J22" i="22"/>
  <c r="J22" i="23"/>
  <c r="P30" i="22"/>
  <c r="P30" i="23"/>
  <c r="P23" i="22"/>
  <c r="P23" i="23"/>
  <c r="N23" i="22"/>
  <c r="N23" i="23"/>
  <c r="P25" i="22"/>
  <c r="P25" i="23"/>
  <c r="L23" i="22"/>
  <c r="L23" i="23"/>
  <c r="N25" i="22"/>
  <c r="N25" i="23"/>
  <c r="P22" i="22"/>
  <c r="P22" i="23"/>
  <c r="L25" i="22"/>
  <c r="L25" i="23"/>
  <c r="N22" i="22"/>
  <c r="N22" i="23"/>
  <c r="J30" i="22"/>
  <c r="J30" i="23"/>
  <c r="J21" i="22"/>
  <c r="J21" i="23"/>
  <c r="P24" i="23"/>
  <c r="L22" i="22"/>
  <c r="L22" i="23"/>
  <c r="L30" i="22"/>
  <c r="L30" i="23"/>
  <c r="J25" i="22"/>
  <c r="J25" i="23"/>
  <c r="N24" i="23"/>
  <c r="P21" i="22"/>
  <c r="P21" i="23"/>
  <c r="N30" i="22"/>
  <c r="N30" i="23"/>
  <c r="J24" i="23"/>
  <c r="L24" i="23"/>
  <c r="N21" i="22"/>
  <c r="N21" i="23"/>
  <c r="J18" i="22"/>
  <c r="J18" i="23"/>
  <c r="J16" i="22"/>
  <c r="J16" i="23"/>
  <c r="P16" i="22"/>
  <c r="P16" i="23"/>
  <c r="J19" i="22"/>
  <c r="J19" i="23"/>
  <c r="N16" i="22"/>
  <c r="N16" i="23"/>
  <c r="N19" i="22"/>
  <c r="N19" i="23"/>
  <c r="L17" i="22"/>
  <c r="L17" i="23"/>
  <c r="P19" i="22"/>
  <c r="P19" i="23"/>
  <c r="L19" i="22"/>
  <c r="L19" i="23"/>
  <c r="N17" i="22"/>
  <c r="N17" i="23"/>
  <c r="P17" i="22"/>
  <c r="P17" i="23"/>
  <c r="I10" i="4"/>
  <c r="I24" i="1"/>
  <c r="E9" i="26"/>
  <c r="C9" i="26"/>
  <c r="D9" i="26"/>
  <c r="B53" i="26"/>
  <c r="C53" i="26"/>
  <c r="E53" i="26"/>
  <c r="C55" i="26"/>
  <c r="D55" i="26"/>
  <c r="E55" i="26"/>
  <c r="P63" i="22" l="1"/>
  <c r="E68" i="26" s="1"/>
  <c r="P63" i="23"/>
  <c r="F82" i="26" s="1"/>
  <c r="N63" i="22"/>
  <c r="D68" i="26" s="1"/>
  <c r="N63" i="23"/>
  <c r="D82" i="26" s="1"/>
  <c r="L63" i="22"/>
  <c r="C68" i="26" s="1"/>
  <c r="L63" i="23"/>
  <c r="B82" i="26" s="1"/>
  <c r="J61" i="22"/>
  <c r="B66" i="26" s="1"/>
  <c r="J61" i="23"/>
  <c r="J53" i="22"/>
  <c r="J53" i="23"/>
  <c r="J49" i="22"/>
  <c r="J49" i="23"/>
  <c r="P50" i="22"/>
  <c r="P50" i="23"/>
  <c r="N53" i="22"/>
  <c r="N53" i="23"/>
  <c r="L51" i="22"/>
  <c r="L51" i="23"/>
  <c r="L49" i="22"/>
  <c r="L49" i="23"/>
  <c r="J51" i="22"/>
  <c r="J51" i="23"/>
  <c r="P52" i="22"/>
  <c r="P52" i="23"/>
  <c r="N52" i="22"/>
  <c r="N52" i="23"/>
  <c r="N48" i="22"/>
  <c r="N48" i="23"/>
  <c r="L52" i="22"/>
  <c r="L52" i="23"/>
  <c r="L50" i="22"/>
  <c r="L50" i="23"/>
  <c r="L48" i="22"/>
  <c r="L48" i="23"/>
  <c r="J52" i="22"/>
  <c r="J52" i="23"/>
  <c r="J50" i="22"/>
  <c r="J50" i="23"/>
  <c r="J48" i="22"/>
  <c r="J48" i="23"/>
  <c r="P49" i="22"/>
  <c r="P49" i="23"/>
  <c r="P48" i="22"/>
  <c r="P48" i="23"/>
  <c r="N50" i="22"/>
  <c r="N50" i="23"/>
  <c r="P51" i="22"/>
  <c r="P51" i="23"/>
  <c r="P53" i="22"/>
  <c r="P53" i="23"/>
  <c r="N51" i="22"/>
  <c r="N51" i="23"/>
  <c r="N49" i="22"/>
  <c r="N49" i="23"/>
  <c r="L16" i="22"/>
  <c r="L16" i="23"/>
  <c r="J17" i="22"/>
  <c r="J17" i="23"/>
  <c r="J20" i="23"/>
  <c r="J20" i="22"/>
  <c r="B24" i="26" s="1"/>
  <c r="N20" i="22"/>
  <c r="D24" i="26" s="1"/>
  <c r="N20" i="23"/>
  <c r="D39" i="26" s="1"/>
  <c r="L20" i="22"/>
  <c r="C24" i="26" s="1"/>
  <c r="L20" i="23"/>
  <c r="B39" i="26" s="1"/>
  <c r="P20" i="22"/>
  <c r="E24" i="26" s="1"/>
  <c r="P20" i="23"/>
  <c r="F39" i="26" s="1"/>
  <c r="N61" i="22"/>
  <c r="D66" i="26" s="1"/>
  <c r="N61" i="23"/>
  <c r="D80" i="26" s="1"/>
  <c r="L61" i="23"/>
  <c r="B80" i="26" s="1"/>
  <c r="L61" i="22"/>
  <c r="C66" i="26" s="1"/>
  <c r="P61" i="22"/>
  <c r="E66" i="26" s="1"/>
  <c r="P61" i="23"/>
  <c r="F80" i="26" s="1"/>
  <c r="C13" i="26"/>
  <c r="B13" i="26"/>
  <c r="E13" i="26"/>
  <c r="D13" i="26"/>
  <c r="B11" i="26"/>
  <c r="J29" i="22" l="1"/>
  <c r="J29" i="23"/>
  <c r="L28" i="22"/>
  <c r="L28" i="23"/>
  <c r="P29" i="22"/>
  <c r="P29" i="23"/>
  <c r="N29" i="22"/>
  <c r="N29" i="23"/>
  <c r="L29" i="22"/>
  <c r="L29" i="23"/>
  <c r="J28" i="22"/>
  <c r="J28" i="23"/>
  <c r="P28" i="22"/>
  <c r="P28" i="23"/>
  <c r="N28" i="22"/>
  <c r="N28" i="23"/>
  <c r="P15" i="22"/>
  <c r="P15" i="23"/>
  <c r="N12" i="22"/>
  <c r="N12" i="23"/>
  <c r="P12" i="22"/>
  <c r="P12" i="23"/>
  <c r="L12" i="23"/>
  <c r="L12" i="22"/>
  <c r="J12" i="22"/>
  <c r="J12" i="23"/>
  <c r="J47" i="22"/>
  <c r="B28" i="26" s="1"/>
  <c r="J47" i="23"/>
  <c r="N47" i="22"/>
  <c r="D28" i="26" s="1"/>
  <c r="N47" i="23"/>
  <c r="D43" i="26" s="1"/>
  <c r="D95" i="26" s="1"/>
  <c r="P47" i="22"/>
  <c r="E28" i="26" s="1"/>
  <c r="P47" i="23"/>
  <c r="F43" i="26" s="1"/>
  <c r="F95" i="26" s="1"/>
  <c r="J31" i="23"/>
  <c r="J31" i="22"/>
  <c r="B26" i="26" s="1"/>
  <c r="L47" i="22"/>
  <c r="C28" i="26" s="1"/>
  <c r="L47" i="23"/>
  <c r="B43" i="26" s="1"/>
  <c r="B95" i="26" s="1"/>
  <c r="E10" i="4"/>
  <c r="G10" i="4"/>
  <c r="F10" i="4"/>
  <c r="H10" i="4"/>
  <c r="D10" i="26" l="1"/>
  <c r="N27" i="22"/>
  <c r="N27" i="23"/>
  <c r="J27" i="22"/>
  <c r="J27" i="23"/>
  <c r="E10" i="26"/>
  <c r="P27" i="22"/>
  <c r="P27" i="23"/>
  <c r="C10" i="26"/>
  <c r="L27" i="22"/>
  <c r="L27" i="23"/>
  <c r="N26" i="23"/>
  <c r="D40" i="26" s="1"/>
  <c r="J26" i="23"/>
  <c r="J26" i="22"/>
  <c r="B25" i="26" s="1"/>
  <c r="L54" i="22"/>
  <c r="J11" i="23"/>
  <c r="L26" i="23" l="1"/>
  <c r="B40" i="26" s="1"/>
  <c r="L26" i="22"/>
  <c r="C25" i="26" s="1"/>
  <c r="N26" i="22"/>
  <c r="D25" i="26" s="1"/>
  <c r="P26" i="23"/>
  <c r="F40" i="26" s="1"/>
  <c r="B10" i="26"/>
  <c r="P26" i="22"/>
  <c r="E25" i="26" s="1"/>
  <c r="J8" i="22"/>
  <c r="J8" i="23"/>
  <c r="J11" i="22"/>
  <c r="N10" i="22"/>
  <c r="N10" i="23"/>
  <c r="B12" i="26" l="1"/>
  <c r="J46" i="22"/>
  <c r="B27" i="26" s="1"/>
  <c r="J46" i="23"/>
  <c r="L8" i="22"/>
  <c r="L8" i="23"/>
  <c r="P8" i="22"/>
  <c r="P8" i="23"/>
  <c r="J9" i="22"/>
  <c r="J9" i="23"/>
  <c r="N8" i="22"/>
  <c r="N8" i="23"/>
  <c r="L11" i="22"/>
  <c r="L11" i="23"/>
  <c r="N11" i="22"/>
  <c r="N11" i="23"/>
  <c r="N9" i="22"/>
  <c r="N9" i="23"/>
  <c r="L10" i="23"/>
  <c r="L10" i="22"/>
  <c r="P9" i="22"/>
  <c r="P9" i="23"/>
  <c r="J10" i="23"/>
  <c r="J10" i="22"/>
  <c r="P10" i="22"/>
  <c r="P10" i="23"/>
  <c r="P11" i="22"/>
  <c r="P11" i="23"/>
  <c r="L9" i="22"/>
  <c r="L9" i="23"/>
  <c r="H6" i="11"/>
  <c r="G6" i="11"/>
  <c r="F6" i="11"/>
  <c r="E6" i="11"/>
  <c r="J7" i="23" l="1"/>
  <c r="L7" i="23"/>
  <c r="L7" i="22"/>
  <c r="N7" i="22"/>
  <c r="N7" i="23"/>
  <c r="J7" i="22"/>
  <c r="P7" i="22"/>
  <c r="P7" i="23"/>
  <c r="B56" i="26"/>
  <c r="J64" i="23" l="1"/>
  <c r="J64" i="22"/>
  <c r="B69" i="26" s="1"/>
  <c r="E11" i="26"/>
  <c r="C11" i="26"/>
  <c r="C12" i="26" l="1"/>
  <c r="L31" i="22"/>
  <c r="C26" i="26" s="1"/>
  <c r="L31" i="23"/>
  <c r="B41" i="26" s="1"/>
  <c r="E12" i="26"/>
  <c r="E26" i="26"/>
  <c r="P31" i="23"/>
  <c r="F41" i="26" s="1"/>
  <c r="D11" i="26"/>
  <c r="E56" i="26"/>
  <c r="C56" i="26"/>
  <c r="D56" i="26"/>
  <c r="P64" i="22" l="1"/>
  <c r="E69" i="26" s="1"/>
  <c r="P64" i="23"/>
  <c r="F83" i="26" s="1"/>
  <c r="N64" i="22"/>
  <c r="D69" i="26" s="1"/>
  <c r="N64" i="23"/>
  <c r="D83" i="26" s="1"/>
  <c r="N31" i="22"/>
  <c r="D26" i="26" s="1"/>
  <c r="N31" i="23"/>
  <c r="D41" i="26" s="1"/>
  <c r="P46" i="22"/>
  <c r="E27" i="26" s="1"/>
  <c r="P46" i="23"/>
  <c r="L64" i="22"/>
  <c r="C69" i="26" s="1"/>
  <c r="L64" i="23"/>
  <c r="B83" i="26" s="1"/>
  <c r="L46" i="22"/>
  <c r="C27" i="26" s="1"/>
  <c r="L46" i="23"/>
  <c r="B42" i="26" s="1"/>
  <c r="B92" i="26" s="1"/>
  <c r="D12" i="26"/>
  <c r="I55" i="1"/>
  <c r="F42" i="26" l="1"/>
  <c r="F92" i="26" s="1"/>
  <c r="J15" i="22"/>
  <c r="J15" i="23"/>
  <c r="L15" i="22"/>
  <c r="L15" i="23"/>
  <c r="N46" i="22"/>
  <c r="D27" i="26" s="1"/>
  <c r="N46" i="23"/>
  <c r="D42" i="26" s="1"/>
  <c r="B8" i="26"/>
  <c r="B14" i="26"/>
  <c r="D92" i="26" l="1"/>
  <c r="J14" i="22"/>
  <c r="B23" i="26" s="1"/>
  <c r="J14" i="23"/>
  <c r="J55" i="23"/>
  <c r="J55" i="22"/>
  <c r="B29" i="26" s="1"/>
  <c r="J13" i="22" l="1"/>
  <c r="J13" i="23"/>
  <c r="B52" i="26" l="1"/>
  <c r="J60" i="22"/>
  <c r="B65" i="26" s="1"/>
  <c r="J60" i="23"/>
  <c r="B7" i="26"/>
  <c r="B15" i="26" s="1"/>
  <c r="K4" i="1"/>
  <c r="J6" i="22"/>
  <c r="B22" i="26" s="1"/>
  <c r="B30" i="26" s="1"/>
  <c r="B57" i="26"/>
  <c r="J65" i="23" l="1"/>
  <c r="J65" i="22"/>
  <c r="B70" i="26" s="1"/>
  <c r="K63" i="1"/>
  <c r="K10" i="1"/>
  <c r="K9" i="1"/>
  <c r="K23" i="1"/>
  <c r="K29" i="1"/>
  <c r="K25" i="1"/>
  <c r="J57" i="22"/>
  <c r="K39" i="1"/>
  <c r="K21" i="1"/>
  <c r="K49" i="1"/>
  <c r="K26" i="1"/>
  <c r="K19" i="1"/>
  <c r="K8" i="1"/>
  <c r="K15" i="1"/>
  <c r="K40" i="1"/>
  <c r="K47" i="1"/>
  <c r="K36" i="1"/>
  <c r="K41" i="1"/>
  <c r="K61" i="1"/>
  <c r="K52" i="1"/>
  <c r="K34" i="1"/>
  <c r="K28" i="1"/>
  <c r="K33" i="1"/>
  <c r="J57" i="23"/>
  <c r="K23" i="23" s="1"/>
  <c r="K24" i="1"/>
  <c r="K6" i="1"/>
  <c r="K31" i="1"/>
  <c r="K14" i="1"/>
  <c r="K30" i="1"/>
  <c r="K11" i="1"/>
  <c r="K16" i="1"/>
  <c r="K62" i="1"/>
  <c r="K48" i="1"/>
  <c r="K7" i="1"/>
  <c r="K43" i="1"/>
  <c r="K13" i="1"/>
  <c r="K42" i="1"/>
  <c r="K17" i="1"/>
  <c r="K18" i="1"/>
  <c r="K59" i="1"/>
  <c r="K35" i="1"/>
  <c r="K27" i="1"/>
  <c r="K32" i="1"/>
  <c r="K37" i="1"/>
  <c r="K38" i="1"/>
  <c r="K50" i="1"/>
  <c r="K20" i="1"/>
  <c r="K58" i="1"/>
  <c r="K51" i="1"/>
  <c r="C57" i="26"/>
  <c r="D57" i="26"/>
  <c r="E57" i="26"/>
  <c r="K55" i="1" l="1"/>
  <c r="K53" i="1"/>
  <c r="K6" i="22"/>
  <c r="K24" i="22"/>
  <c r="P65" i="22"/>
  <c r="E70" i="26" s="1"/>
  <c r="P65" i="23"/>
  <c r="F84" i="26" s="1"/>
  <c r="N65" i="22"/>
  <c r="D70" i="26" s="1"/>
  <c r="N65" i="23"/>
  <c r="D84" i="26" s="1"/>
  <c r="L65" i="22"/>
  <c r="C70" i="26" s="1"/>
  <c r="L65" i="23"/>
  <c r="B84" i="26" s="1"/>
  <c r="K40" i="22"/>
  <c r="K60" i="22"/>
  <c r="K44" i="22"/>
  <c r="K51" i="22"/>
  <c r="K37" i="22"/>
  <c r="K64" i="22"/>
  <c r="K26" i="22"/>
  <c r="K46" i="22"/>
  <c r="K30" i="22"/>
  <c r="K48" i="22"/>
  <c r="K61" i="22"/>
  <c r="K63" i="22"/>
  <c r="K54" i="22"/>
  <c r="K21" i="22"/>
  <c r="K49" i="22"/>
  <c r="K23" i="22"/>
  <c r="K31" i="22"/>
  <c r="K12" i="22"/>
  <c r="K34" i="22"/>
  <c r="K20" i="22"/>
  <c r="K43" i="22"/>
  <c r="K42" i="22"/>
  <c r="K17" i="22"/>
  <c r="K50" i="22"/>
  <c r="K25" i="22"/>
  <c r="K13" i="22"/>
  <c r="K15" i="22"/>
  <c r="K39" i="22"/>
  <c r="K18" i="22"/>
  <c r="K33" i="22"/>
  <c r="K45" i="22"/>
  <c r="K55" i="22"/>
  <c r="K14" i="22"/>
  <c r="K57" i="22"/>
  <c r="K29" i="22"/>
  <c r="K22" i="22"/>
  <c r="K10" i="22"/>
  <c r="K65" i="22"/>
  <c r="K36" i="22"/>
  <c r="K53" i="22"/>
  <c r="K27" i="22"/>
  <c r="K9" i="22"/>
  <c r="K8" i="22"/>
  <c r="K41" i="22"/>
  <c r="K28" i="22"/>
  <c r="K47" i="22"/>
  <c r="K7" i="22"/>
  <c r="K35" i="22"/>
  <c r="K38" i="22"/>
  <c r="K32" i="22"/>
  <c r="K52" i="22"/>
  <c r="K19" i="22"/>
  <c r="K54" i="23"/>
  <c r="K65" i="23"/>
  <c r="K63" i="23"/>
  <c r="K10" i="23"/>
  <c r="K32" i="23"/>
  <c r="K31" i="23"/>
  <c r="K45" i="23"/>
  <c r="K16" i="23"/>
  <c r="K51" i="23"/>
  <c r="K36" i="23"/>
  <c r="K6" i="23"/>
  <c r="K21" i="23"/>
  <c r="K14" i="23"/>
  <c r="K18" i="23"/>
  <c r="K41" i="23"/>
  <c r="K19" i="23"/>
  <c r="K22" i="23"/>
  <c r="K27" i="23"/>
  <c r="K30" i="23"/>
  <c r="K25" i="23"/>
  <c r="K11" i="23"/>
  <c r="K38" i="23"/>
  <c r="K46" i="23"/>
  <c r="K55" i="23"/>
  <c r="K24" i="23"/>
  <c r="K61" i="23"/>
  <c r="K64" i="23"/>
  <c r="K48" i="23"/>
  <c r="K39" i="23"/>
  <c r="K57" i="23"/>
  <c r="K20" i="23"/>
  <c r="K60" i="23"/>
  <c r="K53" i="23"/>
  <c r="K28" i="23"/>
  <c r="K42" i="23"/>
  <c r="K12" i="23"/>
  <c r="K8" i="23"/>
  <c r="K50" i="23"/>
  <c r="K34" i="23"/>
  <c r="K43" i="23"/>
  <c r="K26" i="23"/>
  <c r="K52" i="23"/>
  <c r="K15" i="23"/>
  <c r="K49" i="23"/>
  <c r="K40" i="23"/>
  <c r="K33" i="23"/>
  <c r="K9" i="23"/>
  <c r="K44" i="23"/>
  <c r="K13" i="23"/>
  <c r="K17" i="23"/>
  <c r="K47" i="23"/>
  <c r="K35" i="23"/>
  <c r="K7" i="23"/>
  <c r="K29" i="23"/>
  <c r="K37" i="23"/>
  <c r="K16" i="22"/>
  <c r="K11" i="22"/>
  <c r="L18" i="22" l="1"/>
  <c r="L18" i="23"/>
  <c r="C54" i="26"/>
  <c r="K60" i="1"/>
  <c r="K65" i="1" s="1"/>
  <c r="D54" i="26"/>
  <c r="E54" i="26"/>
  <c r="C8" i="26"/>
  <c r="K57" i="1" l="1"/>
  <c r="B54" i="26"/>
  <c r="B58" i="26" s="1"/>
  <c r="J67" i="23"/>
  <c r="N15" i="22"/>
  <c r="N15" i="23"/>
  <c r="G64" i="2"/>
  <c r="L14" i="22"/>
  <c r="C23" i="26" s="1"/>
  <c r="L14" i="23"/>
  <c r="B38" i="26" s="1"/>
  <c r="B93" i="26" s="1"/>
  <c r="P62" i="22"/>
  <c r="E67" i="26" s="1"/>
  <c r="P62" i="23"/>
  <c r="F81" i="26" s="1"/>
  <c r="N62" i="22"/>
  <c r="D67" i="26" s="1"/>
  <c r="N62" i="23"/>
  <c r="D81" i="26" s="1"/>
  <c r="L62" i="22"/>
  <c r="C67" i="26" s="1"/>
  <c r="L62" i="23"/>
  <c r="B81" i="26" s="1"/>
  <c r="J62" i="22"/>
  <c r="B67" i="26" s="1"/>
  <c r="B71" i="26" s="1"/>
  <c r="J62" i="23"/>
  <c r="K62" i="23" s="1"/>
  <c r="K67" i="23" s="1"/>
  <c r="F4" i="11"/>
  <c r="L58" i="1" s="1"/>
  <c r="L57" i="1" s="1"/>
  <c r="L65" i="1" s="1"/>
  <c r="D8" i="26"/>
  <c r="F10" i="2" l="1"/>
  <c r="J59" i="22"/>
  <c r="K59" i="22" s="1"/>
  <c r="J59" i="23"/>
  <c r="K59" i="23" s="1"/>
  <c r="J67" i="22"/>
  <c r="K62" i="22"/>
  <c r="K67" i="22" s="1"/>
  <c r="N14" i="22"/>
  <c r="D23" i="26" s="1"/>
  <c r="N14" i="23"/>
  <c r="D38" i="26" s="1"/>
  <c r="D93" i="26" s="1"/>
  <c r="H64" i="2"/>
  <c r="C52" i="26"/>
  <c r="C58" i="26" s="1"/>
  <c r="G4" i="11"/>
  <c r="N58" i="1" s="1"/>
  <c r="N57" i="1" s="1"/>
  <c r="N65" i="1" s="1"/>
  <c r="L11" i="1" l="1"/>
  <c r="L4" i="1" s="1"/>
  <c r="L53" i="1" s="1"/>
  <c r="F12" i="2"/>
  <c r="G10" i="2"/>
  <c r="P18" i="22"/>
  <c r="P18" i="23"/>
  <c r="L60" i="22"/>
  <c r="C65" i="26" s="1"/>
  <c r="C71" i="26" s="1"/>
  <c r="L60" i="23"/>
  <c r="B79" i="26" s="1"/>
  <c r="D52" i="26"/>
  <c r="D58" i="26" s="1"/>
  <c r="L13" i="23" l="1"/>
  <c r="L13" i="22"/>
  <c r="N11" i="1"/>
  <c r="N4" i="1" s="1"/>
  <c r="N53" i="1" s="1"/>
  <c r="N55" i="23" s="1"/>
  <c r="D44" i="26" s="1"/>
  <c r="D96" i="26" s="1"/>
  <c r="G12" i="2"/>
  <c r="C14" i="26"/>
  <c r="L55" i="1"/>
  <c r="M22" i="1" s="1"/>
  <c r="L55" i="23"/>
  <c r="B44" i="26" s="1"/>
  <c r="B96" i="26" s="1"/>
  <c r="L55" i="22"/>
  <c r="C29" i="26" s="1"/>
  <c r="C7" i="26"/>
  <c r="L6" i="23"/>
  <c r="B37" i="26" s="1"/>
  <c r="B94" i="26" s="1"/>
  <c r="L6" i="22"/>
  <c r="C22" i="26" s="1"/>
  <c r="B85" i="26"/>
  <c r="E8" i="26"/>
  <c r="P14" i="22"/>
  <c r="E23" i="26" s="1"/>
  <c r="P14" i="23"/>
  <c r="F38" i="26" s="1"/>
  <c r="F93" i="26" s="1"/>
  <c r="N59" i="23"/>
  <c r="N60" i="22"/>
  <c r="D65" i="26" s="1"/>
  <c r="D71" i="26" s="1"/>
  <c r="N60" i="23"/>
  <c r="D79" i="26" s="1"/>
  <c r="L59" i="22"/>
  <c r="L59" i="23"/>
  <c r="L67" i="22"/>
  <c r="L67" i="23"/>
  <c r="H4" i="11"/>
  <c r="P58" i="1" s="1"/>
  <c r="P57" i="1" s="1"/>
  <c r="D7" i="26" l="1"/>
  <c r="N13" i="23"/>
  <c r="N13" i="22"/>
  <c r="L57" i="22"/>
  <c r="M23" i="22" s="1"/>
  <c r="P65" i="1"/>
  <c r="P67" i="23" s="1"/>
  <c r="M17" i="1"/>
  <c r="M36" i="1"/>
  <c r="M7" i="1"/>
  <c r="M16" i="1"/>
  <c r="M12" i="1"/>
  <c r="M30" i="1"/>
  <c r="M6" i="1"/>
  <c r="M40" i="1"/>
  <c r="M61" i="1"/>
  <c r="M20" i="1"/>
  <c r="M31" i="1"/>
  <c r="M24" i="1"/>
  <c r="M50" i="1"/>
  <c r="M62" i="1"/>
  <c r="M48" i="1"/>
  <c r="M29" i="1"/>
  <c r="M63" i="1"/>
  <c r="M10" i="1"/>
  <c r="L57" i="23"/>
  <c r="M6" i="23" s="1"/>
  <c r="M35" i="1"/>
  <c r="M4" i="1"/>
  <c r="M51" i="1"/>
  <c r="M26" i="1"/>
  <c r="M34" i="1"/>
  <c r="M59" i="1"/>
  <c r="M41" i="1"/>
  <c r="M33" i="1"/>
  <c r="M45" i="1"/>
  <c r="M52" i="1" s="1"/>
  <c r="M43" i="1"/>
  <c r="M46" i="1"/>
  <c r="M5" i="1"/>
  <c r="M47" i="1"/>
  <c r="M57" i="1"/>
  <c r="M42" i="1"/>
  <c r="M13" i="1"/>
  <c r="M21" i="1"/>
  <c r="M58" i="1"/>
  <c r="M19" i="1"/>
  <c r="M18" i="1"/>
  <c r="M27" i="1"/>
  <c r="M23" i="1"/>
  <c r="M32" i="1"/>
  <c r="M8" i="1"/>
  <c r="M44" i="1"/>
  <c r="M28" i="1"/>
  <c r="M39" i="1"/>
  <c r="M25" i="1"/>
  <c r="M60" i="1"/>
  <c r="C15" i="26"/>
  <c r="M37" i="1"/>
  <c r="M9" i="1"/>
  <c r="M14" i="1"/>
  <c r="M38" i="1"/>
  <c r="M15" i="1"/>
  <c r="M11" i="1"/>
  <c r="M49" i="1"/>
  <c r="D14" i="26"/>
  <c r="D15" i="26" s="1"/>
  <c r="N55" i="1"/>
  <c r="O22" i="1" s="1"/>
  <c r="N55" i="22"/>
  <c r="D29" i="26" s="1"/>
  <c r="I64" i="2"/>
  <c r="H10" i="2" s="1"/>
  <c r="C30" i="26"/>
  <c r="B45" i="26"/>
  <c r="C38" i="26" s="1"/>
  <c r="M14" i="22"/>
  <c r="D85" i="26"/>
  <c r="C80" i="26"/>
  <c r="C81" i="26"/>
  <c r="C82" i="26"/>
  <c r="B97" i="26"/>
  <c r="B98" i="26" s="1"/>
  <c r="C84" i="26"/>
  <c r="C83" i="26"/>
  <c r="C79" i="26"/>
  <c r="N59" i="22"/>
  <c r="N6" i="22"/>
  <c r="D22" i="26" s="1"/>
  <c r="N6" i="23"/>
  <c r="D37" i="26" s="1"/>
  <c r="N67" i="22"/>
  <c r="N67" i="23"/>
  <c r="E52" i="26"/>
  <c r="E58" i="26" s="1"/>
  <c r="M25" i="22" l="1"/>
  <c r="M21" i="22"/>
  <c r="M15" i="22"/>
  <c r="M40" i="22"/>
  <c r="M8" i="22"/>
  <c r="M60" i="22"/>
  <c r="M20" i="22"/>
  <c r="M44" i="22"/>
  <c r="M6" i="22"/>
  <c r="M16" i="22"/>
  <c r="M53" i="22"/>
  <c r="M62" i="22"/>
  <c r="M32" i="22"/>
  <c r="M24" i="22"/>
  <c r="M22" i="22"/>
  <c r="M38" i="22"/>
  <c r="M34" i="22"/>
  <c r="M52" i="22"/>
  <c r="M10" i="22"/>
  <c r="M39" i="22"/>
  <c r="M37" i="22"/>
  <c r="M43" i="22"/>
  <c r="M48" i="22"/>
  <c r="M63" i="22"/>
  <c r="M47" i="22"/>
  <c r="M36" i="22"/>
  <c r="M57" i="22"/>
  <c r="M65" i="22"/>
  <c r="M13" i="22"/>
  <c r="M61" i="22"/>
  <c r="M35" i="22"/>
  <c r="M12" i="22"/>
  <c r="M45" i="22"/>
  <c r="M31" i="22"/>
  <c r="M28" i="22"/>
  <c r="M19" i="22"/>
  <c r="M64" i="22"/>
  <c r="M26" i="22"/>
  <c r="M29" i="22"/>
  <c r="M59" i="22"/>
  <c r="M46" i="22"/>
  <c r="M50" i="22"/>
  <c r="M9" i="22"/>
  <c r="M17" i="22"/>
  <c r="M54" i="22"/>
  <c r="M55" i="22"/>
  <c r="M7" i="22"/>
  <c r="M41" i="22"/>
  <c r="M42" i="22"/>
  <c r="M18" i="22"/>
  <c r="M33" i="22"/>
  <c r="M11" i="22"/>
  <c r="M49" i="22"/>
  <c r="M27" i="22"/>
  <c r="M51" i="22"/>
  <c r="M30" i="22"/>
  <c r="P11" i="1"/>
  <c r="P4" i="1" s="1"/>
  <c r="P53" i="1" s="1"/>
  <c r="H12" i="2"/>
  <c r="M20" i="23"/>
  <c r="M55" i="23"/>
  <c r="M37" i="23"/>
  <c r="M57" i="23"/>
  <c r="M54" i="23"/>
  <c r="M18" i="23"/>
  <c r="M45" i="23"/>
  <c r="M26" i="23"/>
  <c r="M44" i="23"/>
  <c r="M53" i="23"/>
  <c r="M49" i="23"/>
  <c r="M15" i="23"/>
  <c r="M13" i="23"/>
  <c r="M35" i="23"/>
  <c r="M51" i="23"/>
  <c r="M52" i="23"/>
  <c r="M59" i="23"/>
  <c r="M61" i="23"/>
  <c r="M47" i="23"/>
  <c r="M43" i="23"/>
  <c r="M16" i="23"/>
  <c r="M22" i="23"/>
  <c r="M62" i="23"/>
  <c r="M32" i="23"/>
  <c r="M38" i="23"/>
  <c r="M30" i="23"/>
  <c r="M23" i="23"/>
  <c r="M41" i="23"/>
  <c r="M64" i="23"/>
  <c r="M14" i="23"/>
  <c r="M65" i="23"/>
  <c r="M10" i="23"/>
  <c r="M46" i="23"/>
  <c r="M21" i="23"/>
  <c r="M33" i="23"/>
  <c r="M34" i="23"/>
  <c r="M12" i="23"/>
  <c r="M8" i="23"/>
  <c r="M29" i="23"/>
  <c r="M31" i="23"/>
  <c r="M63" i="23"/>
  <c r="M42" i="23"/>
  <c r="M48" i="23"/>
  <c r="M17" i="23"/>
  <c r="M25" i="23"/>
  <c r="M19" i="23"/>
  <c r="M40" i="23"/>
  <c r="M7" i="23"/>
  <c r="M28" i="23"/>
  <c r="M24" i="23"/>
  <c r="M11" i="23"/>
  <c r="M39" i="23"/>
  <c r="M50" i="23"/>
  <c r="M36" i="23"/>
  <c r="M9" i="23"/>
  <c r="M27" i="23"/>
  <c r="M60" i="23"/>
  <c r="M65" i="1"/>
  <c r="M55" i="1"/>
  <c r="M53" i="1"/>
  <c r="O58" i="1"/>
  <c r="O45" i="1"/>
  <c r="O52" i="1" s="1"/>
  <c r="D30" i="26"/>
  <c r="C37" i="26"/>
  <c r="C44" i="26"/>
  <c r="C42" i="26"/>
  <c r="C41" i="26"/>
  <c r="C39" i="26"/>
  <c r="C40" i="26"/>
  <c r="C43" i="26"/>
  <c r="O20" i="1"/>
  <c r="O43" i="1"/>
  <c r="E84" i="26"/>
  <c r="D97" i="26"/>
  <c r="E81" i="26"/>
  <c r="E82" i="26"/>
  <c r="E80" i="26"/>
  <c r="E83" i="26"/>
  <c r="D94" i="26"/>
  <c r="E79" i="26"/>
  <c r="O61" i="1"/>
  <c r="O7" i="1"/>
  <c r="O37" i="1"/>
  <c r="O51" i="1"/>
  <c r="O27" i="1"/>
  <c r="O26" i="1"/>
  <c r="O13" i="1"/>
  <c r="O21" i="1"/>
  <c r="O25" i="1"/>
  <c r="O32" i="1"/>
  <c r="O59" i="1"/>
  <c r="O11" i="1"/>
  <c r="O50" i="1"/>
  <c r="O19" i="1"/>
  <c r="O5" i="1"/>
  <c r="O10" i="1"/>
  <c r="O12" i="1"/>
  <c r="O23" i="1"/>
  <c r="O57" i="1"/>
  <c r="O9" i="1"/>
  <c r="O39" i="1"/>
  <c r="O40" i="1"/>
  <c r="O49" i="1"/>
  <c r="O34" i="1"/>
  <c r="O4" i="1"/>
  <c r="O47" i="1"/>
  <c r="O14" i="1"/>
  <c r="O18" i="1"/>
  <c r="O35" i="1"/>
  <c r="D45" i="26"/>
  <c r="E37" i="26" s="1"/>
  <c r="O28" i="1"/>
  <c r="O31" i="1"/>
  <c r="O24" i="1"/>
  <c r="O63" i="1"/>
  <c r="O6" i="1"/>
  <c r="O44" i="1"/>
  <c r="O42" i="1"/>
  <c r="O33" i="1"/>
  <c r="O38" i="1"/>
  <c r="O17" i="1"/>
  <c r="O41" i="1"/>
  <c r="O62" i="1"/>
  <c r="O15" i="1"/>
  <c r="O8" i="1"/>
  <c r="N57" i="22"/>
  <c r="N57" i="23"/>
  <c r="O57" i="23" s="1"/>
  <c r="O48" i="1"/>
  <c r="O16" i="1"/>
  <c r="O46" i="1"/>
  <c r="O30" i="1"/>
  <c r="O29" i="1"/>
  <c r="O60" i="1"/>
  <c r="O36" i="1"/>
  <c r="P67" i="22"/>
  <c r="P60" i="22"/>
  <c r="E65" i="26" s="1"/>
  <c r="E71" i="26" s="1"/>
  <c r="P60" i="23"/>
  <c r="F79" i="26" s="1"/>
  <c r="P13" i="23" l="1"/>
  <c r="P13" i="22"/>
  <c r="E7" i="26"/>
  <c r="M67" i="22"/>
  <c r="M67" i="23"/>
  <c r="P55" i="22"/>
  <c r="E29" i="26" s="1"/>
  <c r="P55" i="1"/>
  <c r="P57" i="23" s="1"/>
  <c r="O55" i="1"/>
  <c r="E14" i="26"/>
  <c r="P55" i="23"/>
  <c r="O53" i="1"/>
  <c r="O10" i="22"/>
  <c r="O24" i="22"/>
  <c r="O37" i="23"/>
  <c r="C93" i="26"/>
  <c r="C95" i="26"/>
  <c r="C92" i="26"/>
  <c r="C96" i="26"/>
  <c r="C94" i="26"/>
  <c r="O39" i="22"/>
  <c r="E40" i="26"/>
  <c r="E39" i="26"/>
  <c r="E38" i="26"/>
  <c r="E43" i="26"/>
  <c r="E41" i="26"/>
  <c r="E42" i="26"/>
  <c r="E44" i="26"/>
  <c r="F85" i="26"/>
  <c r="G79" i="26" s="1"/>
  <c r="O61" i="23"/>
  <c r="D98" i="26"/>
  <c r="O14" i="23"/>
  <c r="C97" i="26"/>
  <c r="O45" i="23"/>
  <c r="O43" i="22"/>
  <c r="O63" i="22"/>
  <c r="O17" i="22"/>
  <c r="O8" i="22"/>
  <c r="O35" i="22"/>
  <c r="O32" i="22"/>
  <c r="O53" i="22"/>
  <c r="O38" i="22"/>
  <c r="O16" i="22"/>
  <c r="O64" i="22"/>
  <c r="O54" i="23"/>
  <c r="O6" i="22"/>
  <c r="O48" i="23"/>
  <c r="O44" i="22"/>
  <c r="O13" i="22"/>
  <c r="O17" i="23"/>
  <c r="O61" i="22"/>
  <c r="O11" i="22"/>
  <c r="O50" i="23"/>
  <c r="O28" i="22"/>
  <c r="O27" i="22"/>
  <c r="O34" i="23"/>
  <c r="O23" i="23"/>
  <c r="O12" i="22"/>
  <c r="O51" i="23"/>
  <c r="O43" i="23"/>
  <c r="O40" i="22"/>
  <c r="O42" i="23"/>
  <c r="O55" i="22"/>
  <c r="O64" i="23"/>
  <c r="O36" i="22"/>
  <c r="O59" i="23"/>
  <c r="O7" i="23"/>
  <c r="O65" i="22"/>
  <c r="O23" i="22"/>
  <c r="O46" i="22"/>
  <c r="O15" i="22"/>
  <c r="O59" i="22"/>
  <c r="O11" i="23"/>
  <c r="O51" i="22"/>
  <c r="O14" i="22"/>
  <c r="O31" i="22"/>
  <c r="O65" i="1"/>
  <c r="O18" i="23"/>
  <c r="O6" i="23"/>
  <c r="O20" i="23"/>
  <c r="O22" i="23"/>
  <c r="O12" i="23"/>
  <c r="O31" i="23"/>
  <c r="O28" i="23"/>
  <c r="O15" i="23"/>
  <c r="O44" i="23"/>
  <c r="O25" i="22"/>
  <c r="O25" i="23"/>
  <c r="O57" i="22"/>
  <c r="O19" i="22"/>
  <c r="O8" i="23"/>
  <c r="O65" i="23"/>
  <c r="O40" i="23"/>
  <c r="O13" i="23"/>
  <c r="O26" i="23"/>
  <c r="O41" i="23"/>
  <c r="O60" i="22"/>
  <c r="O47" i="23"/>
  <c r="O62" i="22"/>
  <c r="O34" i="22"/>
  <c r="O63" i="23"/>
  <c r="O21" i="23"/>
  <c r="O39" i="23"/>
  <c r="O30" i="22"/>
  <c r="O45" i="22"/>
  <c r="O19" i="23"/>
  <c r="O24" i="23"/>
  <c r="O60" i="23"/>
  <c r="O53" i="23"/>
  <c r="O32" i="23"/>
  <c r="O50" i="22"/>
  <c r="O54" i="22"/>
  <c r="O30" i="23"/>
  <c r="O48" i="22"/>
  <c r="O29" i="22"/>
  <c r="O16" i="23"/>
  <c r="O20" i="22"/>
  <c r="O49" i="23"/>
  <c r="O49" i="22"/>
  <c r="O9" i="22"/>
  <c r="O35" i="23"/>
  <c r="O62" i="23"/>
  <c r="O10" i="23"/>
  <c r="O9" i="23"/>
  <c r="O18" i="22"/>
  <c r="O52" i="22"/>
  <c r="O37" i="22"/>
  <c r="O22" i="22"/>
  <c r="O7" i="22"/>
  <c r="O21" i="22"/>
  <c r="O33" i="23"/>
  <c r="O36" i="23"/>
  <c r="O33" i="22"/>
  <c r="O26" i="22"/>
  <c r="O46" i="23"/>
  <c r="O29" i="23"/>
  <c r="O52" i="23"/>
  <c r="O47" i="22"/>
  <c r="O41" i="22"/>
  <c r="O38" i="23"/>
  <c r="O42" i="22"/>
  <c r="O27" i="23"/>
  <c r="O55" i="23"/>
  <c r="P6" i="22"/>
  <c r="E22" i="26" s="1"/>
  <c r="P6" i="23"/>
  <c r="F37" i="26" s="1"/>
  <c r="P59" i="22"/>
  <c r="P59" i="23"/>
  <c r="Q44" i="1" l="1"/>
  <c r="E15" i="26"/>
  <c r="E30" i="26"/>
  <c r="P57" i="22"/>
  <c r="Q45" i="1"/>
  <c r="Q52" i="1" s="1"/>
  <c r="Q22" i="1"/>
  <c r="F44" i="26"/>
  <c r="F96" i="26" s="1"/>
  <c r="Q18" i="1"/>
  <c r="Q11" i="1"/>
  <c r="F94" i="26"/>
  <c r="E95" i="26"/>
  <c r="E93" i="26"/>
  <c r="E92" i="26"/>
  <c r="E96" i="26"/>
  <c r="E94" i="26"/>
  <c r="G81" i="26"/>
  <c r="G82" i="26"/>
  <c r="F97" i="26"/>
  <c r="G84" i="26"/>
  <c r="G80" i="26"/>
  <c r="G83" i="26"/>
  <c r="E97" i="26"/>
  <c r="Q14" i="1"/>
  <c r="Q40" i="1"/>
  <c r="Q46" i="1"/>
  <c r="Q10" i="1"/>
  <c r="Q20" i="1"/>
  <c r="Q6" i="1"/>
  <c r="Q36" i="1"/>
  <c r="O67" i="23"/>
  <c r="Q21" i="1"/>
  <c r="Q43" i="1"/>
  <c r="Q4" i="1"/>
  <c r="Q48" i="1"/>
  <c r="Q37" i="1"/>
  <c r="O67" i="22"/>
  <c r="Q7" i="1"/>
  <c r="Q19" i="1"/>
  <c r="Q47" i="1"/>
  <c r="Q30" i="1"/>
  <c r="Q42" i="1"/>
  <c r="Q28" i="1"/>
  <c r="Q23" i="1"/>
  <c r="Q57" i="1"/>
  <c r="Q58" i="1"/>
  <c r="Q49" i="1"/>
  <c r="Q39" i="1"/>
  <c r="Q13" i="23"/>
  <c r="Q60" i="1"/>
  <c r="Q35" i="1"/>
  <c r="Q27" i="1"/>
  <c r="Q38" i="1"/>
  <c r="Q25" i="1"/>
  <c r="Q8" i="1"/>
  <c r="Q61" i="1"/>
  <c r="Q16" i="1"/>
  <c r="Q51" i="1"/>
  <c r="Q9" i="1"/>
  <c r="Q59" i="1"/>
  <c r="Q31" i="1"/>
  <c r="Q12" i="1"/>
  <c r="Q17" i="1"/>
  <c r="Q15" i="1"/>
  <c r="Q24" i="1"/>
  <c r="Q63" i="1"/>
  <c r="Q33" i="1"/>
  <c r="Q26" i="1"/>
  <c r="Q62" i="1"/>
  <c r="Q32" i="1"/>
  <c r="Q29" i="1"/>
  <c r="Q41" i="1"/>
  <c r="Q13" i="1"/>
  <c r="Q34" i="1"/>
  <c r="Q5" i="1"/>
  <c r="Q50" i="1"/>
  <c r="F45" i="26" l="1"/>
  <c r="G41" i="26" s="1"/>
  <c r="Q53" i="1"/>
  <c r="Q55" i="1"/>
  <c r="Q55" i="22"/>
  <c r="Q24" i="22"/>
  <c r="F98" i="26"/>
  <c r="G94" i="26" s="1"/>
  <c r="Q21" i="23"/>
  <c r="Q47" i="23"/>
  <c r="Q17" i="23"/>
  <c r="Q15" i="23"/>
  <c r="Q36" i="23"/>
  <c r="Q40" i="23"/>
  <c r="Q52" i="23"/>
  <c r="Q51" i="23"/>
  <c r="Q43" i="23"/>
  <c r="Q44" i="23"/>
  <c r="Q24" i="23"/>
  <c r="Q14" i="23"/>
  <c r="Q19" i="23"/>
  <c r="Q59" i="23"/>
  <c r="Q12" i="23"/>
  <c r="Q61" i="23"/>
  <c r="Q10" i="23"/>
  <c r="Q27" i="23"/>
  <c r="Q46" i="23"/>
  <c r="Q57" i="23"/>
  <c r="Q50" i="23"/>
  <c r="Q60" i="23"/>
  <c r="Q63" i="23"/>
  <c r="Q16" i="23"/>
  <c r="Q7" i="23"/>
  <c r="Q20" i="23"/>
  <c r="Q64" i="23"/>
  <c r="Q23" i="23"/>
  <c r="Q8" i="23"/>
  <c r="Q28" i="23"/>
  <c r="Q53" i="23"/>
  <c r="Q48" i="23"/>
  <c r="Q34" i="23"/>
  <c r="Q42" i="23"/>
  <c r="Q22" i="23"/>
  <c r="Q25" i="23"/>
  <c r="Q65" i="23"/>
  <c r="Q49" i="23"/>
  <c r="Q41" i="23"/>
  <c r="Q33" i="23"/>
  <c r="Q30" i="23"/>
  <c r="Q31" i="23"/>
  <c r="Q37" i="23"/>
  <c r="Q29" i="23"/>
  <c r="Q26" i="23"/>
  <c r="Q55" i="23"/>
  <c r="Q6" i="23"/>
  <c r="Q62" i="23"/>
  <c r="Q38" i="23"/>
  <c r="Q35" i="23"/>
  <c r="Q32" i="23"/>
  <c r="Q45" i="23"/>
  <c r="Q54" i="23"/>
  <c r="Q18" i="23"/>
  <c r="Q9" i="23"/>
  <c r="Q39" i="23"/>
  <c r="Q11" i="23"/>
  <c r="Q65" i="1"/>
  <c r="Q47" i="22"/>
  <c r="Q65" i="22"/>
  <c r="Q26" i="22"/>
  <c r="Q14" i="22"/>
  <c r="Q54" i="22"/>
  <c r="Q28" i="22"/>
  <c r="Q46" i="22"/>
  <c r="Q48" i="22"/>
  <c r="Q36" i="22"/>
  <c r="Q51" i="22"/>
  <c r="Q60" i="22"/>
  <c r="Q15" i="22"/>
  <c r="Q30" i="22"/>
  <c r="Q63" i="22"/>
  <c r="Q44" i="22"/>
  <c r="Q53" i="22"/>
  <c r="Q11" i="22"/>
  <c r="Q8" i="22"/>
  <c r="Q43" i="22"/>
  <c r="Q7" i="22"/>
  <c r="Q16" i="22"/>
  <c r="Q64" i="22"/>
  <c r="Q39" i="22"/>
  <c r="Q37" i="22"/>
  <c r="Q20" i="22"/>
  <c r="Q62" i="22"/>
  <c r="Q33" i="22"/>
  <c r="Q42" i="22"/>
  <c r="Q29" i="22"/>
  <c r="Q23" i="22"/>
  <c r="Q13" i="22"/>
  <c r="Q22" i="22"/>
  <c r="Q32" i="22"/>
  <c r="Q40" i="22"/>
  <c r="Q18" i="22"/>
  <c r="Q35" i="22"/>
  <c r="Q19" i="22"/>
  <c r="Q27" i="22"/>
  <c r="Q9" i="22"/>
  <c r="Q6" i="22"/>
  <c r="Q57" i="22"/>
  <c r="Q61" i="22"/>
  <c r="Q17" i="22"/>
  <c r="Q45" i="22"/>
  <c r="Q41" i="22"/>
  <c r="Q52" i="22"/>
  <c r="Q25" i="22"/>
  <c r="Q31" i="22"/>
  <c r="Q50" i="22"/>
  <c r="Q34" i="22"/>
  <c r="Q49" i="22"/>
  <c r="Q10" i="22"/>
  <c r="Q12" i="22"/>
  <c r="Q38" i="22"/>
  <c r="Q21" i="22"/>
  <c r="Q59" i="22"/>
  <c r="G38" i="26" l="1"/>
  <c r="G39" i="26"/>
  <c r="G40" i="26"/>
  <c r="G37" i="26"/>
  <c r="G43" i="26"/>
  <c r="G44" i="26"/>
  <c r="G42" i="26"/>
  <c r="G93" i="26"/>
  <c r="G95" i="26"/>
  <c r="G92" i="26"/>
  <c r="G96" i="26"/>
  <c r="G97" i="26"/>
  <c r="Q67" i="23"/>
  <c r="Q67" i="22"/>
</calcChain>
</file>

<file path=xl/sharedStrings.xml><?xml version="1.0" encoding="utf-8"?>
<sst xmlns="http://schemas.openxmlformats.org/spreadsheetml/2006/main" count="1367" uniqueCount="581">
  <si>
    <t>Capex</t>
  </si>
  <si>
    <t>Permitting and Environmental Compliance</t>
  </si>
  <si>
    <t>1.1.1</t>
  </si>
  <si>
    <t>Siting &amp; Scoping</t>
  </si>
  <si>
    <t>1.1.2</t>
  </si>
  <si>
    <t>Pre-Installation Studies</t>
  </si>
  <si>
    <t>1.1.3</t>
  </si>
  <si>
    <t>Post-Installation Studies</t>
  </si>
  <si>
    <t>NEPA &amp; Process</t>
  </si>
  <si>
    <t>1.2.1</t>
  </si>
  <si>
    <t>Infrastructure</t>
  </si>
  <si>
    <t>1.2.2</t>
  </si>
  <si>
    <t>Subsea Cables</t>
  </si>
  <si>
    <t>Cable Landing (Material only)</t>
  </si>
  <si>
    <t>1.2.3</t>
  </si>
  <si>
    <t>Dockside Improvements</t>
  </si>
  <si>
    <t>1.2.4</t>
  </si>
  <si>
    <t>1.2.5</t>
  </si>
  <si>
    <t>Other</t>
  </si>
  <si>
    <t>Mooring/Foundation</t>
  </si>
  <si>
    <t>1.3.1</t>
  </si>
  <si>
    <t>Mooring lines/chain</t>
  </si>
  <si>
    <t>1.3.2</t>
  </si>
  <si>
    <t>Anchors</t>
  </si>
  <si>
    <t>1.3.3</t>
  </si>
  <si>
    <t>Buoyancy Tanks</t>
  </si>
  <si>
    <t>1.3.4</t>
  </si>
  <si>
    <t>Connecting Hardware (shackles etc.)</t>
  </si>
  <si>
    <t>1.3.5</t>
  </si>
  <si>
    <t>Device Structural Components</t>
  </si>
  <si>
    <t>1.4.1</t>
  </si>
  <si>
    <t>1.4.2</t>
  </si>
  <si>
    <t>1.4.3</t>
  </si>
  <si>
    <t>1.4.4</t>
  </si>
  <si>
    <t>Power Take Off</t>
  </si>
  <si>
    <t>1.5.1</t>
  </si>
  <si>
    <t>Generator</t>
  </si>
  <si>
    <t>1.5.2</t>
  </si>
  <si>
    <t>1.5.3</t>
  </si>
  <si>
    <t>1.5.4</t>
  </si>
  <si>
    <t>Hydraulic System</t>
  </si>
  <si>
    <t>Frequency Converter</t>
  </si>
  <si>
    <t>1.5.5</t>
  </si>
  <si>
    <t>Step-up Transformer</t>
  </si>
  <si>
    <t>1.5.6</t>
  </si>
  <si>
    <t>Riser Cable</t>
  </si>
  <si>
    <t>1.5.7</t>
  </si>
  <si>
    <t>Electrical Energy Storage</t>
  </si>
  <si>
    <t>1.5.8</t>
  </si>
  <si>
    <t>Installation</t>
  </si>
  <si>
    <t>Transport to Staging Site</t>
  </si>
  <si>
    <t>Cable Shore Landing</t>
  </si>
  <si>
    <t>Device Installation</t>
  </si>
  <si>
    <t>Device Comissioning</t>
  </si>
  <si>
    <t>Insurance</t>
  </si>
  <si>
    <t>Environmental Monitoring and Regulatory Compliance</t>
  </si>
  <si>
    <t>Marine Operations</t>
  </si>
  <si>
    <t>Shoreside Operations</t>
  </si>
  <si>
    <t>Replacement Parts</t>
  </si>
  <si>
    <t>Consumables</t>
  </si>
  <si>
    <t>Annualized OPEX</t>
  </si>
  <si>
    <t>Dedicated O&amp;M Vessel</t>
  </si>
  <si>
    <t>Seals</t>
  </si>
  <si>
    <t>1.5.9</t>
  </si>
  <si>
    <t xml:space="preserve">Control System </t>
  </si>
  <si>
    <t>Device Access (Railings, Ladders, etc)</t>
  </si>
  <si>
    <t>Bearings and Linear Guides</t>
  </si>
  <si>
    <t>Assembly, Testing &amp; QA</t>
  </si>
  <si>
    <t>Units</t>
  </si>
  <si>
    <t>1.5.10</t>
  </si>
  <si>
    <t>1.5.11</t>
  </si>
  <si>
    <t>1.5.12</t>
  </si>
  <si>
    <t>Rotors</t>
  </si>
  <si>
    <t>1.5.13</t>
  </si>
  <si>
    <t>Gearbox and Driveshaft</t>
  </si>
  <si>
    <t>Mooring/Foundation System</t>
  </si>
  <si>
    <t>1.4.5</t>
  </si>
  <si>
    <t>Subsystem Integration &amp; Profit Margin</t>
  </si>
  <si>
    <t>1.7.1</t>
  </si>
  <si>
    <t>1.7.2</t>
  </si>
  <si>
    <t>1.7.3</t>
  </si>
  <si>
    <t>1.7.4</t>
  </si>
  <si>
    <t>1.7.5</t>
  </si>
  <si>
    <t>1.7.6</t>
  </si>
  <si>
    <t>Cost</t>
  </si>
  <si>
    <t>Total Cost</t>
  </si>
  <si>
    <t>Total</t>
  </si>
  <si>
    <t>Assumptions</t>
  </si>
  <si>
    <t>Component</t>
  </si>
  <si>
    <t>Control System</t>
  </si>
  <si>
    <t>Sum</t>
  </si>
  <si>
    <t>1-Unit</t>
  </si>
  <si>
    <t>Subsystem Integration and Profit margins are difficult to estimate given the level of design of the reference model.  For consistency and to make it simple, this was assumed to be 10% of the machine cost.  This is probably low for single unit production scale</t>
  </si>
  <si>
    <t xml:space="preserve">However, because the primary focus of the RM effort is in identifying cost reduction pathways it was decided to apply this assumption, rather then an assumption as a function of deployment scale.  </t>
  </si>
  <si>
    <t>10 Units</t>
  </si>
  <si>
    <t>50 Units</t>
  </si>
  <si>
    <t>100 Units</t>
  </si>
  <si>
    <t>Transport Cost to Staging Site</t>
  </si>
  <si>
    <t>1 - Unit</t>
  </si>
  <si>
    <t>10 - Units</t>
  </si>
  <si>
    <t>100 - Units</t>
  </si>
  <si>
    <t>50 - Units</t>
  </si>
  <si>
    <t>Note: Typical in offshore one-off projects</t>
  </si>
  <si>
    <t>Note: Typical in Onshore Wind, assuming high technical maturity</t>
  </si>
  <si>
    <t>Comments/Notes</t>
  </si>
  <si>
    <t>1 Unit</t>
  </si>
  <si>
    <t>Totals</t>
  </si>
  <si>
    <t>Development</t>
  </si>
  <si>
    <t>1.1.1.1</t>
  </si>
  <si>
    <t>1.1.1.2</t>
  </si>
  <si>
    <t>1.1.1.3</t>
  </si>
  <si>
    <t>1.1.1.4</t>
  </si>
  <si>
    <t>Site Assessment</t>
  </si>
  <si>
    <t>Design &amp; Engineering</t>
  </si>
  <si>
    <t>10-Units</t>
  </si>
  <si>
    <t>100-Units</t>
  </si>
  <si>
    <t>50-Units</t>
  </si>
  <si>
    <t>Cost Summary</t>
  </si>
  <si>
    <t>Weight (tonnes)</t>
  </si>
  <si>
    <t>Profit</t>
  </si>
  <si>
    <t>Mass</t>
  </si>
  <si>
    <t>Category</t>
  </si>
  <si>
    <t>Prog Ratio</t>
  </si>
  <si>
    <t>Cost per unit</t>
  </si>
  <si>
    <t>Siting and Scoping</t>
  </si>
  <si>
    <t>Preliminary Resource Assessemnt</t>
  </si>
  <si>
    <t>Environmental Scoping</t>
  </si>
  <si>
    <t>Community Outreach</t>
  </si>
  <si>
    <t>Regulatory Outreach</t>
  </si>
  <si>
    <t>Detailed Resource Assessment</t>
  </si>
  <si>
    <t>Fish and Invertebrates</t>
  </si>
  <si>
    <t>Habitat</t>
  </si>
  <si>
    <t>Cultural Resources</t>
  </si>
  <si>
    <t>Navigation</t>
  </si>
  <si>
    <t>Recreation</t>
  </si>
  <si>
    <t>Post-Install Capital</t>
  </si>
  <si>
    <t>NEPA Document Preparation</t>
  </si>
  <si>
    <t>Monitoring and Study Plans</t>
  </si>
  <si>
    <t>NEPA and Process</t>
  </si>
  <si>
    <t xml:space="preserve">Material </t>
  </si>
  <si>
    <t>Labor</t>
  </si>
  <si>
    <t>Material</t>
  </si>
  <si>
    <t>QTY</t>
  </si>
  <si>
    <t>Single Unit Cost Breakdown</t>
  </si>
  <si>
    <t>Cost per 1</t>
  </si>
  <si>
    <t>m</t>
  </si>
  <si>
    <t>Water Depth</t>
  </si>
  <si>
    <t>1.2.3 Dockside Improvements</t>
  </si>
  <si>
    <t>1.2.4 Dedicated O&amp;M Vessel</t>
  </si>
  <si>
    <t>1.3.1 Mooring Lines / Chain</t>
  </si>
  <si>
    <t>1.3.2 Anchors</t>
  </si>
  <si>
    <t>1.3.3 Connecting Hardware</t>
  </si>
  <si>
    <t>100 Unit Cost Breakdown</t>
  </si>
  <si>
    <t>% of Structural</t>
  </si>
  <si>
    <t>PTO mounting</t>
  </si>
  <si>
    <t>1.5.14</t>
  </si>
  <si>
    <t>kW</t>
  </si>
  <si>
    <t>m^2</t>
  </si>
  <si>
    <t>Rotor Diameter</t>
  </si>
  <si>
    <t>Mass (kg)</t>
  </si>
  <si>
    <t># Units</t>
  </si>
  <si>
    <t>Contingency</t>
  </si>
  <si>
    <t>Cables</t>
  </si>
  <si>
    <t>Design and Engineering</t>
  </si>
  <si>
    <t>Decommissioning</t>
  </si>
  <si>
    <t>in%</t>
  </si>
  <si>
    <t>in %</t>
  </si>
  <si>
    <t>Hydrodynamic Modelling</t>
  </si>
  <si>
    <t>% of total assumpton</t>
  </si>
  <si>
    <t>Total Capex (Hard Cost)</t>
  </si>
  <si>
    <t>Cost Estimating Notes</t>
  </si>
  <si>
    <t>Terminations and Connectors</t>
  </si>
  <si>
    <t>1.2.2 Terminations and Connectors</t>
  </si>
  <si>
    <t>Structural Cost Total from 1-3</t>
  </si>
  <si>
    <t>tonnes</t>
  </si>
  <si>
    <t>Non-Reccuring</t>
  </si>
  <si>
    <t>Non-Recurring</t>
  </si>
  <si>
    <t>Non-recurring</t>
  </si>
  <si>
    <t>1.6 Subsystem Integration and Profit Margin</t>
  </si>
  <si>
    <t>10% of Machine Cost</t>
  </si>
  <si>
    <t>Device Performance</t>
  </si>
  <si>
    <t>Transmission Efficiency</t>
  </si>
  <si>
    <t>Annual Output</t>
  </si>
  <si>
    <t>Mirko Previsic</t>
  </si>
  <si>
    <t>Company</t>
  </si>
  <si>
    <t>Contact</t>
  </si>
  <si>
    <t>mirko@re-vision.net</t>
  </si>
  <si>
    <t>Created by</t>
  </si>
  <si>
    <t>Date</t>
  </si>
  <si>
    <t>Disclaimer</t>
  </si>
  <si>
    <t>3. Cost Estimates provided herein are based on concept design and engineering data and have high levels of uncertainties embedded</t>
  </si>
  <si>
    <t>Project Design, Engineering, and Management</t>
  </si>
  <si>
    <t>1.8 Decomissioning</t>
  </si>
  <si>
    <t>1.9 Contingency</t>
  </si>
  <si>
    <t>occurs at the end of the 20-year project life, having a minimal impact on the cost of electricty from this plant.  Decomissioning costs are not represented in the CoE assessment.</t>
  </si>
  <si>
    <t>MACRS Depreciation</t>
  </si>
  <si>
    <t>Construction Finance Rate</t>
  </si>
  <si>
    <t>Effective Tax Rate</t>
  </si>
  <si>
    <t>Technical Input Parameters</t>
  </si>
  <si>
    <t>Average Current Speed</t>
  </si>
  <si>
    <t>m/s</t>
  </si>
  <si>
    <t>Average Power Flux</t>
  </si>
  <si>
    <t>kW/m^2</t>
  </si>
  <si>
    <t>Peak Current Speed</t>
  </si>
  <si>
    <t>Max Power Flux</t>
  </si>
  <si>
    <t>Turbine Parameters</t>
  </si>
  <si>
    <t>Rotors per Turbine</t>
  </si>
  <si>
    <t>Energy Extraction</t>
  </si>
  <si>
    <t>Average Extracted Power</t>
  </si>
  <si>
    <t>Average Electric Power</t>
  </si>
  <si>
    <t>Rated Electric Power</t>
  </si>
  <si>
    <t xml:space="preserve">Machine Capacity Factor </t>
  </si>
  <si>
    <t>Array Parameters</t>
  </si>
  <si>
    <t># of US homes equivalent</t>
  </si>
  <si>
    <t>Array/Turbine Availability</t>
  </si>
  <si>
    <t>Rotor Area</t>
  </si>
  <si>
    <t xml:space="preserve">Freq. </t>
  </si>
  <si>
    <t>CP</t>
  </si>
  <si>
    <t>P fluid</t>
  </si>
  <si>
    <t>P Rotor</t>
  </si>
  <si>
    <t>P Electric</t>
  </si>
  <si>
    <t>Energy</t>
  </si>
  <si>
    <t>MWh/year</t>
  </si>
  <si>
    <t>Resource and Performance Outputs</t>
  </si>
  <si>
    <t>Site Resource Parameters</t>
  </si>
  <si>
    <t>Generator Rated Capacity</t>
  </si>
  <si>
    <t>Economic Parameters (Utility Generator Model)</t>
  </si>
  <si>
    <t>State Tax Rate</t>
  </si>
  <si>
    <t>Return on Equity</t>
  </si>
  <si>
    <t>Equity</t>
  </si>
  <si>
    <t>Debt</t>
  </si>
  <si>
    <t>Return on Debt</t>
  </si>
  <si>
    <t>Federal Tax Rate</t>
  </si>
  <si>
    <t>Plant Life (years)</t>
  </si>
  <si>
    <t>Year 1</t>
  </si>
  <si>
    <t>Year 2</t>
  </si>
  <si>
    <t>Year 3</t>
  </si>
  <si>
    <t>Year 4</t>
  </si>
  <si>
    <t>Year 5</t>
  </si>
  <si>
    <t>Year 6</t>
  </si>
  <si>
    <t>PVdepr</t>
  </si>
  <si>
    <t>Construction Cost Multiplier (CCMult)</t>
  </si>
  <si>
    <t>Weighted Average Cost of Capital (After tax)</t>
  </si>
  <si>
    <t>% Construction Spending during Year 0</t>
  </si>
  <si>
    <t>% Construction Spending during Year 1</t>
  </si>
  <si>
    <t>Annual Construction Multiplier - Year 1</t>
  </si>
  <si>
    <t>Annual Construction Multiplier - Year 2</t>
  </si>
  <si>
    <t>CCmult*CRF*(1-T*PVdepr)/(1-T)</t>
  </si>
  <si>
    <t xml:space="preserve">  1+(1-T)*[ (1+ (Construction Finance Rate))^(t+0.5) - 1 ]</t>
  </si>
  <si>
    <t>Capital Recovery Factor (WACC,Plant Life)</t>
  </si>
  <si>
    <t>Fixed Charge Rate</t>
  </si>
  <si>
    <t>Total Annual OPEX</t>
  </si>
  <si>
    <t>Plant Rated Capacity (kW)</t>
  </si>
  <si>
    <t>MWh/Year</t>
  </si>
  <si>
    <t>Distrib.</t>
  </si>
  <si>
    <t>kWh/year</t>
  </si>
  <si>
    <t xml:space="preserve">10% is used because that is what offshore wind has been using.    </t>
  </si>
  <si>
    <t>$/tonne</t>
  </si>
  <si>
    <t>Note: Inputs shown in green</t>
  </si>
  <si>
    <t>RE Vision Consulting, LLC</t>
  </si>
  <si>
    <t>Cost Basis in $'s</t>
  </si>
  <si>
    <t>Capex and Opex Table Rounding</t>
  </si>
  <si>
    <t># of digits to zero</t>
  </si>
  <si>
    <t>$ / kW</t>
  </si>
  <si>
    <t>cents/kWh</t>
  </si>
  <si>
    <t>%</t>
  </si>
  <si>
    <t>$ / kW-yr</t>
  </si>
  <si>
    <t>Environmental Monitoring &amp; Regulatory Compliance</t>
  </si>
  <si>
    <t>Total Cost / yr</t>
  </si>
  <si>
    <t>Device</t>
  </si>
  <si>
    <t>Operation and Maintenance</t>
  </si>
  <si>
    <t>Opex</t>
  </si>
  <si>
    <t>Capex &amp; Opex</t>
  </si>
  <si>
    <t># of Units</t>
  </si>
  <si>
    <t>Installed Capacity (kW)</t>
  </si>
  <si>
    <t>Installed Capacity (MW)</t>
  </si>
  <si>
    <t>Mean Velocity</t>
  </si>
  <si>
    <t>Peak Velocity</t>
  </si>
  <si>
    <t>Avg Power Flux</t>
  </si>
  <si>
    <t>LCoE</t>
  </si>
  <si>
    <t>Sensitvity Graphs</t>
  </si>
  <si>
    <t>Value</t>
  </si>
  <si>
    <t>RESULTS</t>
  </si>
  <si>
    <t>Data Sources</t>
  </si>
  <si>
    <t>PNNL - Detailed in Separate Document</t>
  </si>
  <si>
    <t>RE Vision Estimate from similar experience</t>
  </si>
  <si>
    <t>Cost Estimating Notes:</t>
  </si>
  <si>
    <t>Decomissioning costs are assumed to be the same as the installation costs, because similar operational procedures will be used to remove the plant hardware as for the installation process.  The key difference is that decomissioning</t>
  </si>
  <si>
    <t xml:space="preserve">Contingency captures unknown unknowns.  Given the conceptual level of design, it is likely that quite a few items are not well understood and hence costs are under-predicted.   </t>
  </si>
  <si>
    <t xml:space="preserve">Insurance cost is a direct function of the perceived risk of a project.  Offshore Oil &amp; Gas project are typically on the order of 2% of CAPEX.  These are one-off construction projects with a relatively high risk profile (oil-spill potential etc.). </t>
  </si>
  <si>
    <t xml:space="preserve"> On the other end of the spectrum is land-based wind that is technologically mature with typical insurance rates on the order of 0.5%.  The assumption is that for 1 and 10-unit deployment scales technology is relatively immature</t>
  </si>
  <si>
    <t xml:space="preserve">It is also assumed that no investor will take the risk of building a 100-unit farm unless technology risks are perceived as being really small. </t>
  </si>
  <si>
    <t>RE Vision Estimate based on related project experience</t>
  </si>
  <si>
    <t>50-100 Units</t>
  </si>
  <si>
    <t>Cost Estimating Notes for Commercial Scale (100-Units)</t>
  </si>
  <si>
    <t>Cost Estimating Notes - Single Unit Scale</t>
  </si>
  <si>
    <t>Incremental Cost for Farm Deployments</t>
  </si>
  <si>
    <t>Annualized Cost Breakdown</t>
  </si>
  <si>
    <t>Data directly taken from PNNL study</t>
  </si>
  <si>
    <t>Single Unit in Mass Production</t>
  </si>
  <si>
    <t>PNNL - Described in Separate Report</t>
  </si>
  <si>
    <t>Survey</t>
  </si>
  <si>
    <t>System Enclosure</t>
  </si>
  <si>
    <t>Mass per Device(kg)</t>
  </si>
  <si>
    <t>In reality, a figure closer to 30% is probably more realistic at single unit scale.</t>
  </si>
  <si>
    <t>Velocity Power Law Fit, "1 / x"</t>
  </si>
  <si>
    <t>Depth Adjusted</t>
  </si>
  <si>
    <t>Surf Velocity</t>
  </si>
  <si>
    <t>Velocity m/s</t>
  </si>
  <si>
    <t>base case</t>
  </si>
  <si>
    <t>Cost Breakdown Structure for River Current Device</t>
  </si>
  <si>
    <t>1. This spreadsheet provides the background and details of the cost and economic assessment of the River Current Device</t>
  </si>
  <si>
    <t>2. This spreadsheet supports the primary reports on the River Current device</t>
  </si>
  <si>
    <t>Riverbed Survey and Mapping</t>
  </si>
  <si>
    <t>Ambient Noise</t>
  </si>
  <si>
    <t>Fish and Diving Birds</t>
  </si>
  <si>
    <t>Water Quality Monitoring</t>
  </si>
  <si>
    <t>River Bed Habitat</t>
  </si>
  <si>
    <t>Noise and EMF Characterization Monitoring</t>
  </si>
  <si>
    <t>Naviagation</t>
  </si>
  <si>
    <t>Water Quality and Sediment Transport</t>
  </si>
  <si>
    <t>Riverbed Cables</t>
  </si>
  <si>
    <t>Pontoon</t>
  </si>
  <si>
    <t>Rotor Frame</t>
  </si>
  <si>
    <t>Crossbridge</t>
  </si>
  <si>
    <t xml:space="preserve">10" x 24'- 2- 15/16" long drive shaft </t>
  </si>
  <si>
    <t>Flange mount for blade attachment</t>
  </si>
  <si>
    <t>Bottom Flanged Drive Shaft 1 - 37.3" lg</t>
  </si>
  <si>
    <t>Bottom Flanged Drive Shaft 2, 69" lg</t>
  </si>
  <si>
    <t>Spherical Ball for Top Bearing</t>
  </si>
  <si>
    <t>Spherical Ball for Bottom Bearing</t>
  </si>
  <si>
    <t>Composite Outer Race for Top Bearing</t>
  </si>
  <si>
    <t>Composite Outer Race for Bottom Bearing</t>
  </si>
  <si>
    <t>Housing - spherical ball top</t>
  </si>
  <si>
    <t>Housing -  spherical ball bottom</t>
  </si>
  <si>
    <t>Housing Gimbal Bearing Retainer (lid) Spherical Ball Bottom</t>
  </si>
  <si>
    <t>Duramax Water Lubricated Bearings</t>
  </si>
  <si>
    <t>Duramax Water Lubricated Thrust Bearings</t>
  </si>
  <si>
    <t>Sandia Turbine Blade w/ Struts</t>
  </si>
  <si>
    <t>Drive Coupling Flew Coupling</t>
  </si>
  <si>
    <t>Main Drive Coupling (U Joint)</t>
  </si>
  <si>
    <t>Falk Gear Drive</t>
  </si>
  <si>
    <t>ABB Motor/Generator</t>
  </si>
  <si>
    <t>Transformers</t>
  </si>
  <si>
    <t>Power Inverter (Drive System)</t>
  </si>
  <si>
    <t>Cooling System</t>
  </si>
  <si>
    <t>Connectors</t>
  </si>
  <si>
    <t>Motor to Gearbox shovel mount</t>
  </si>
  <si>
    <t>Simple Roof generator/gearbox assembly</t>
  </si>
  <si>
    <t>Support Frame to Attach Motor/Gearbox shovel mount to barge deck</t>
  </si>
  <si>
    <t>Mass per 1 (kg)</t>
  </si>
  <si>
    <t>Cable Installation</t>
  </si>
  <si>
    <t>Mooring Installation</t>
  </si>
  <si>
    <t>Cable Landing</t>
  </si>
  <si>
    <t>Mid Rotor Depth</t>
  </si>
  <si>
    <t>Rotor Height</t>
  </si>
  <si>
    <t>Gearbox Efficiency</t>
  </si>
  <si>
    <t>Generator Efficiency</t>
  </si>
  <si>
    <t>Transformer Efficiency</t>
  </si>
  <si>
    <t>Power Inverter Efficiency</t>
  </si>
  <si>
    <t>Cost Breakdown Structure for River Turbine Rated at 90 kW</t>
  </si>
  <si>
    <t>Noise and EMF characterization</t>
  </si>
  <si>
    <t>Lay cable between junction boxes</t>
  </si>
  <si>
    <t>1.1 Development</t>
  </si>
  <si>
    <t>1.2 Infrastructure</t>
  </si>
  <si>
    <t>1.3 Mooring/Foundation</t>
  </si>
  <si>
    <t>1.4 Device Structural Components</t>
  </si>
  <si>
    <t>1.5 Power Take Off</t>
  </si>
  <si>
    <t>1.7 Installation</t>
  </si>
  <si>
    <t>2.1 Insurance</t>
  </si>
  <si>
    <t>2.2 Environmental Monitoring and Regulatory Compliance</t>
  </si>
  <si>
    <t>2.3 Marine Operations</t>
  </si>
  <si>
    <t>2.4 Shoreside Operations</t>
  </si>
  <si>
    <t>2.5 Replacement Parts</t>
  </si>
  <si>
    <t>2.6 Consumables</t>
  </si>
  <si>
    <t>RE Vision</t>
  </si>
  <si>
    <t>HDD Drilling Installation</t>
  </si>
  <si>
    <t>HDD Drilling Distance = 200m, 8 inch HDPE Pipe</t>
  </si>
  <si>
    <t>Device is assumed to be built on Mississippi river and installed =&gt; Device does not have any transportation cost</t>
  </si>
  <si>
    <t>Chains and Connecting Hardware</t>
  </si>
  <si>
    <t>Notes:</t>
  </si>
  <si>
    <t>4-Point Moored Installation barge to carry-out all install activities</t>
  </si>
  <si>
    <t>2 X 900-1500 HP Tug</t>
  </si>
  <si>
    <t>Crew Boat</t>
  </si>
  <si>
    <t>Cable Installation Equipment</t>
  </si>
  <si>
    <t>Crane and Vibratory Hammer for Installation of plate driven anchor</t>
  </si>
  <si>
    <t>Establishing Day-Rates</t>
  </si>
  <si>
    <t>At Dock</t>
  </si>
  <si>
    <t>Moving Anchors</t>
  </si>
  <si>
    <t>Transit</t>
  </si>
  <si>
    <t>Install</t>
  </si>
  <si>
    <t>Standby</t>
  </si>
  <si>
    <t>Operation / Cost</t>
  </si>
  <si>
    <t>Mobe Installation barge in LA</t>
  </si>
  <si>
    <t>Set and Move Installation Barge Anchors</t>
  </si>
  <si>
    <t>Shore End of Trunk Cable (assumes one)</t>
  </si>
  <si>
    <t>Demobe</t>
  </si>
  <si>
    <t>Installation Activities</t>
  </si>
  <si>
    <t>Dayrate</t>
  </si>
  <si>
    <t># Days</t>
  </si>
  <si>
    <t>Unit</t>
  </si>
  <si>
    <t xml:space="preserve">Operational Contingency </t>
  </si>
  <si>
    <t>Cable Installation utilizes the same setup as shown in 1.7.3</t>
  </si>
  <si>
    <t>Dive Support and Shore-Side Ops</t>
  </si>
  <si>
    <t xml:space="preserve">Notes: </t>
  </si>
  <si>
    <t>Device Installation utilizes O&amp;M vessel and crew carry out ops</t>
  </si>
  <si>
    <t>Device Assembly (Shoreside)</t>
  </si>
  <si>
    <t>Device Installation (River-Side)</t>
  </si>
  <si>
    <t>Device is Assembled and getting readied in Shore-side Yard</t>
  </si>
  <si>
    <t>2 days/device</t>
  </si>
  <si>
    <t>Ops Day-rate for 3-person device installation crew: $1080 + $200 for fuel and consumables =&gt; $1280</t>
  </si>
  <si>
    <t>Device Comissioning requires 2/days per device</t>
  </si>
  <si>
    <t>Monthly Intervention Cycles</t>
  </si>
  <si>
    <t>Check up and cleaning of entanglement</t>
  </si>
  <si>
    <t xml:space="preserve"> - Lift rotor out of water</t>
  </si>
  <si>
    <t xml:space="preserve"> - Clean all items</t>
  </si>
  <si>
    <t xml:space="preserve"> - Visual Inspection</t>
  </si>
  <si>
    <t xml:space="preserve"> ==&gt; 2 hours/device</t>
  </si>
  <si>
    <t>6 Month</t>
  </si>
  <si>
    <t>Gearbox Oil-Change and Filter Change</t>
  </si>
  <si>
    <t xml:space="preserve"> - lift rotor out of water</t>
  </si>
  <si>
    <t xml:space="preserve"> - Oil and Filter change</t>
  </si>
  <si>
    <t xml:space="preserve"> - Visual Inspection and minor repair</t>
  </si>
  <si>
    <t xml:space="preserve"> ==&gt; 8 hours/device</t>
  </si>
  <si>
    <t>Annual</t>
  </si>
  <si>
    <t>Shoreside Overhaul &amp; Repair</t>
  </si>
  <si>
    <t xml:space="preserve"> - disconnect device from moorings</t>
  </si>
  <si>
    <t xml:space="preserve"> - attach temporary buoy to mooring chains and electrical collector</t>
  </si>
  <si>
    <t xml:space="preserve"> - tow to shore (dockside or out of water)</t>
  </si>
  <si>
    <t xml:space="preserve"> - Clean off marine growth using pressure wash</t>
  </si>
  <si>
    <t xml:space="preserve"> - Gearbox Oil and Filter Change</t>
  </si>
  <si>
    <t xml:space="preserve"> - Spot-Paint Surfaces</t>
  </si>
  <si>
    <t xml:space="preserve"> - Carry out repairs</t>
  </si>
  <si>
    <t xml:space="preserve"> - Tow device back to site</t>
  </si>
  <si>
    <t xml:space="preserve"> - Attach device to moorings and electrical collector system</t>
  </si>
  <si>
    <t xml:space="preserve"> - Rotate Rotor into vertical position</t>
  </si>
  <si>
    <t xml:space="preserve"> - Commission</t>
  </si>
  <si>
    <t>Time spent per device</t>
  </si>
  <si>
    <t>Monthly: 12 x 2 hours =&gt; 24 hours</t>
  </si>
  <si>
    <t>Bi-Annual: 2 x 8 hours =&gt; 16 hours</t>
  </si>
  <si>
    <t>Annual: 4 x 8 hours =&gt; 32 hours</t>
  </si>
  <si>
    <t>Hours/year-device</t>
  </si>
  <si>
    <t>hours</t>
  </si>
  <si>
    <t># Devices / crew</t>
  </si>
  <si>
    <t>MW's per crew</t>
  </si>
  <si>
    <t>MW</t>
  </si>
  <si>
    <t>Labor cost assuming $30/hour rate (fully loaded)</t>
  </si>
  <si>
    <t>Device Rated Capacity</t>
  </si>
  <si>
    <t>Purchase Price</t>
  </si>
  <si>
    <t>Interest</t>
  </si>
  <si>
    <t>Boat Life</t>
  </si>
  <si>
    <t>Computing Boat Cost (Aluma with knuckle boom crane)</t>
  </si>
  <si>
    <t>years</t>
  </si>
  <si>
    <t>Fuel (estimate)</t>
  </si>
  <si>
    <t>/device-year</t>
  </si>
  <si>
    <t>Other Infrastructure Cost</t>
  </si>
  <si>
    <t>Dockside Yard/Warehouse</t>
  </si>
  <si>
    <t xml:space="preserve"> /year</t>
  </si>
  <si>
    <t>/work-day</t>
  </si>
  <si>
    <t>Maintenance Interval Assumptions</t>
  </si>
  <si>
    <t>Annualized Boat Cost</t>
  </si>
  <si>
    <t xml:space="preserve"> ==&gt; 4 days / device (3-days being spent onshore working on repairs)</t>
  </si>
  <si>
    <t>Crew Cost (same crew as in 2.3)</t>
  </si>
  <si>
    <t>Hours in on-shore repair per year</t>
  </si>
  <si>
    <t>(3-days for annual overhaul and major repairs)</t>
  </si>
  <si>
    <t>Crew Cost (fully loaded)</t>
  </si>
  <si>
    <t>Computing total annual shoreside cost</t>
  </si>
  <si>
    <t>#</t>
  </si>
  <si>
    <t>Incremental Cost for Additional Crew</t>
  </si>
  <si>
    <t>/year</t>
  </si>
  <si>
    <t>Other fixed cost</t>
  </si>
  <si>
    <t>Single Unit does not require dedicated shore-side facility</t>
  </si>
  <si>
    <t xml:space="preserve">Simplified Model due to large uncertainties </t>
  </si>
  <si>
    <t>Replacement Part Value</t>
  </si>
  <si>
    <t>of Powertrain CAPEX</t>
  </si>
  <si>
    <t>Computing Value</t>
  </si>
  <si>
    <t>Powertrain Cost</t>
  </si>
  <si>
    <t>Computing Consumables Cost</t>
  </si>
  <si>
    <t>% of Value used to Estimate Consumables</t>
  </si>
  <si>
    <t>Site Distance to Shore</t>
  </si>
  <si>
    <t>Row to Row Spacing</t>
  </si>
  <si>
    <t>Device to Device Spacing</t>
  </si>
  <si>
    <t># of Devices per Row</t>
  </si>
  <si>
    <t># of Rows</t>
  </si>
  <si>
    <t># of Lateral Cables</t>
  </si>
  <si>
    <t>Lateral Cable length (including Contingency)</t>
  </si>
  <si>
    <t>Total Lateral Cable Length (m)</t>
  </si>
  <si>
    <t>Computing Total Cable Lengths</t>
  </si>
  <si>
    <t>Total Trunk Cable Length (including Contingency)</t>
  </si>
  <si>
    <t>Subsea Cable Selection</t>
  </si>
  <si>
    <t>Plant Capacity (MW)</t>
  </si>
  <si>
    <t>Voltager Level (kV)</t>
  </si>
  <si>
    <t>Conductor Area (mm^2)</t>
  </si>
  <si>
    <t>Cable Ampacity</t>
  </si>
  <si>
    <t>Cable Capacity (MVA)</t>
  </si>
  <si>
    <t># Cable Landings</t>
  </si>
  <si>
    <t>1.2.1 Subsea Cables</t>
  </si>
  <si>
    <t>Trunk Cable Cost</t>
  </si>
  <si>
    <t>10% of Subsea Cable Cost</t>
  </si>
  <si>
    <t>None Considered</t>
  </si>
  <si>
    <t>Vessel Cost</t>
  </si>
  <si>
    <t># Vessels</t>
  </si>
  <si>
    <t>Lateral cable length requires cable to go to riverbed and across to next device. Assumed cable length = 2x lateral spacing</t>
  </si>
  <si>
    <t>Terminations and Connectors are difficult to estimate without a detailed design effort. Estimated them as 10% of Cable cost</t>
  </si>
  <si>
    <t>Average vessel/crew can support up to 21 devices</t>
  </si>
  <si>
    <t>(Purchase price is included in CAPEX cost)</t>
  </si>
  <si>
    <t>Mooring Chain</t>
  </si>
  <si>
    <t>Plate Embedment Anchor with Padeye</t>
  </si>
  <si>
    <t>Shackles etc.</t>
  </si>
  <si>
    <t>Assembly &amp; Testing</t>
  </si>
  <si>
    <t>Cost per kW</t>
  </si>
  <si>
    <t>Driveshaft</t>
  </si>
  <si>
    <t>$/kg</t>
  </si>
  <si>
    <t>Bearing Mounts/housing (cast)</t>
  </si>
  <si>
    <t>Turbine blades with struts</t>
  </si>
  <si>
    <t>Gearbox</t>
  </si>
  <si>
    <t>Motor/Generator</t>
  </si>
  <si>
    <t>Cables, Connectors and Sensors</t>
  </si>
  <si>
    <t>Assembly and Testing</t>
  </si>
  <si>
    <t>$/kW</t>
  </si>
  <si>
    <t>Rated Capacity</t>
  </si>
  <si>
    <t>Weight (kg)</t>
  </si>
  <si>
    <t>Bearing Mounts manufactured using casting processes instead of machining</t>
  </si>
  <si>
    <t xml:space="preserve">Gearbox cost estimated based on $/kg estimate of </t>
  </si>
  <si>
    <t>Mounting Elements estimated based on a$/kg value of</t>
  </si>
  <si>
    <t>Riser cable estimated at $50/m based on similar types of cables.  No detailed design available.</t>
  </si>
  <si>
    <t>Driveshaft cost estimated based on weight.  Assuming pipe material</t>
  </si>
  <si>
    <t xml:space="preserve">based on small wind component cost </t>
  </si>
  <si>
    <t>fixed value</t>
  </si>
  <si>
    <t>Estimate</t>
  </si>
  <si>
    <t>140m @ $60/m</t>
  </si>
  <si>
    <t>Change from solid to pipe concept, some machining</t>
  </si>
  <si>
    <t>PTO Shovel Mount and Enclosure</t>
  </si>
  <si>
    <t>Based on Blade Manufacturing mass production of $13/kg</t>
  </si>
  <si>
    <t>2 x bearing mass x 17.6</t>
  </si>
  <si>
    <t>Lateral Cable Cost (included in 1.5)</t>
  </si>
  <si>
    <t xml:space="preserve">Limited data was available for these types of powertrains at a mass production scale. Cost reduction potential was evaluated on a sub-system by sub-system basis. Concept design is inherently expensive because of component choices. </t>
  </si>
  <si>
    <t>Based on $/pound values from WindPact Study, adjusted for smaller size</t>
  </si>
  <si>
    <t xml:space="preserve">Concept design did not allow to refine all design details.  Used 10% of structural cost to account for smaller items such as device access, connecting elements etc. </t>
  </si>
  <si>
    <t xml:space="preserve">1.4.1 </t>
  </si>
  <si>
    <t>Structural Design Details can be found in the main report, all costs are shown on a per unit basis, total costs are calculated in the summary</t>
  </si>
  <si>
    <t>Turbine blade cost at mass production estimated based on NREL, WindPACT $/kg values</t>
  </si>
  <si>
    <t>4-Point Moored Installation barge to carry-out all install activities, Cable Installation Equipment, Crane and Vibratory Hammer for Installation of plate driven anchor, 2 X 900-1500 HP Tug, Crew Boat</t>
  </si>
  <si>
    <t>Device Installation utilizes O&amp;M vessel and crew carry out ops, Device is Assembled and getting readied in Shore-side Yard, Ops Day-rate for 3-person device installation crew: $1080 + $200 for fuel and consumables =&gt; $1280</t>
  </si>
  <si>
    <t>RE Vision cost assessment</t>
  </si>
  <si>
    <t>RE Vision Consulting Estimates</t>
  </si>
  <si>
    <t>RE Vision Estimate</t>
  </si>
  <si>
    <t>RE Vision Consulting Estimate</t>
  </si>
  <si>
    <t>Flow Sensors/Monitoring Sensors</t>
  </si>
  <si>
    <t>Data Sources - Single Unit Scale</t>
  </si>
  <si>
    <t>Data Sources - Commercial Scale (100-Units)</t>
  </si>
  <si>
    <t>Machine Cost</t>
  </si>
  <si>
    <t>Total Installed Cost (omits Decommissioning)</t>
  </si>
  <si>
    <t>Design &amp; Engineering is taken as a percentage of total hard cost of the device</t>
  </si>
  <si>
    <t>Actual cost breakdowns are provided in separate report by PNNL (average values carried forward to this spreadsheet)</t>
  </si>
  <si>
    <t>Site Assessment costs from RM 3</t>
  </si>
  <si>
    <t>Site Assessment costs assumed to be similar to RM 3</t>
  </si>
  <si>
    <t>Not estimated, but included in project contingency</t>
  </si>
  <si>
    <t xml:space="preserve">RE Vision Estimate </t>
  </si>
  <si>
    <t>Estimated by ARL using Vendor Quotes</t>
  </si>
  <si>
    <t>Estimated by ARL using Vendor Quotes - Items not included in large scale production because they can likely be eliminated</t>
  </si>
  <si>
    <t>Estimate by RE Vision</t>
  </si>
  <si>
    <t xml:space="preserve">Circuit Breaker </t>
  </si>
  <si>
    <t xml:space="preserve"> 1-4</t>
  </si>
  <si>
    <t xml:space="preserve"> 5-11</t>
  </si>
  <si>
    <t xml:space="preserve"> 12-21</t>
  </si>
  <si>
    <t xml:space="preserve"> 23-31</t>
  </si>
  <si>
    <t>Estimated by RE Vision</t>
  </si>
  <si>
    <t xml:space="preserve">RE Vision Consulting </t>
  </si>
  <si>
    <t>Generator cost based on volume manufacturing rates for generator products with similar rpm/power ranges</t>
  </si>
  <si>
    <t>Frequency converter based onvolume manufacturing rates similar products</t>
  </si>
  <si>
    <t>Assumes a small controller</t>
  </si>
  <si>
    <t>Estimated consistently as 10% of hardware cost</t>
  </si>
  <si>
    <t xml:space="preserve">Component Line item 5-11 was eliminated because it was not considered to be an over-design at larger unit scales. </t>
  </si>
  <si>
    <t>Large uncertainties in respect to maintenance needs</t>
  </si>
  <si>
    <t>Simplified O&amp;M cost model</t>
  </si>
  <si>
    <t>Limited Failure Rate information available</t>
  </si>
  <si>
    <t>Replacement Part Value calculated as 1.9% of Powertrain Capex per year. This is consistent with computations on RM1.</t>
  </si>
  <si>
    <t xml:space="preserve">Replacement Part Value taken from RM1 due to limited information on failure rates for this particular topology.  </t>
  </si>
  <si>
    <t>Consumables are not likely cost drivers</t>
  </si>
  <si>
    <t>Small percentage included as 10% of replacement part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</si>
</sst>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quot;$&quot;#,##0"/>
    <numFmt numFmtId="166" formatCode="0.0%"/>
    <numFmt numFmtId="167" formatCode="0.0"/>
    <numFmt numFmtId="168" formatCode="&quot;$&quot;#,##0.00"/>
    <numFmt numFmtId="169" formatCode="_(&quot;$&quot;* #,##0_);_(&quot;$&quot;* \(#,##0\);_(&quot;$&quot;* &quot;-&quot;??_);_(@_)"/>
    <numFmt numFmtId="170" formatCode="#,##0.0"/>
    <numFmt numFmtId="171" formatCode="0.0000"/>
    <numFmt numFmtId="172" formatCode="0.000"/>
    <numFmt numFmtId="173" formatCode="[$$-409]#,##0_);\([$$-409]#,##0\)"/>
    <numFmt numFmtId="174" formatCode="0.000000000000000%"/>
    <numFmt numFmtId="175" formatCode="#,##0.0_);\(#,##0.0\)"/>
    <numFmt numFmtId="176" formatCode="0.00000%"/>
  </numFmts>
  <fonts count="51" x14ac:knownFonts="1">
    <font>
      <sz val="11"/>
      <color theme="1"/>
      <name val="Calibri"/>
      <family val="2"/>
      <scheme val="minor"/>
    </font>
    <font>
      <b/>
      <u/>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Calibri"/>
      <family val="2"/>
      <scheme val="minor"/>
    </font>
    <font>
      <b/>
      <sz val="10"/>
      <name val="Arial"/>
      <family val="2"/>
    </font>
    <font>
      <b/>
      <sz val="11"/>
      <color theme="1"/>
      <name val="Times New Roman"/>
      <family val="1"/>
    </font>
    <font>
      <b/>
      <sz val="12"/>
      <name val="Arial"/>
      <family val="2"/>
    </font>
    <font>
      <i/>
      <sz val="10"/>
      <name val="Arial"/>
      <family val="2"/>
    </font>
    <font>
      <sz val="11"/>
      <color indexed="8"/>
      <name val="Calibri"/>
      <family val="2"/>
      <scheme val="minor"/>
    </font>
    <font>
      <sz val="10"/>
      <color theme="1"/>
      <name val="Arial"/>
      <family val="2"/>
    </font>
    <font>
      <sz val="11"/>
      <name val="Calibri"/>
      <family val="2"/>
      <scheme val="minor"/>
    </font>
    <font>
      <b/>
      <sz val="12"/>
      <color theme="1"/>
      <name val="Calibri"/>
      <family val="2"/>
      <scheme val="minor"/>
    </font>
    <font>
      <sz val="11"/>
      <name val="Arial"/>
      <family val="2"/>
    </font>
    <font>
      <i/>
      <sz val="11"/>
      <color theme="1"/>
      <name val="Calibri"/>
      <family val="2"/>
      <scheme val="minor"/>
    </font>
    <font>
      <u/>
      <sz val="11"/>
      <color theme="10"/>
      <name val="Calibri"/>
      <family val="2"/>
      <scheme val="minor"/>
    </font>
    <font>
      <u/>
      <sz val="10"/>
      <color indexed="12"/>
      <name val="Arial"/>
      <family val="2"/>
    </font>
    <font>
      <sz val="10"/>
      <color indexed="8"/>
      <name val="Arial"/>
      <family val="2"/>
    </font>
    <font>
      <sz val="10"/>
      <color indexed="10"/>
      <name val="Arial"/>
      <family val="2"/>
    </font>
    <font>
      <sz val="10"/>
      <color indexed="9"/>
      <name val="Arial"/>
      <family val="2"/>
    </font>
    <font>
      <u/>
      <sz val="11"/>
      <name val="Arial"/>
      <family val="2"/>
    </font>
    <font>
      <sz val="11"/>
      <color theme="1"/>
      <name val="Arial"/>
      <family val="2"/>
    </font>
    <font>
      <b/>
      <sz val="10"/>
      <color theme="1"/>
      <name val="Arial"/>
      <family val="2"/>
    </font>
    <font>
      <sz val="12"/>
      <color indexed="8"/>
      <name val="Calibri"/>
      <family val="2"/>
    </font>
    <font>
      <sz val="12"/>
      <color theme="1"/>
      <name val="Calibri"/>
      <family val="2"/>
      <scheme val="minor"/>
    </font>
    <font>
      <sz val="11"/>
      <color rgb="FFFF0000"/>
      <name val="Calibri"/>
      <family val="2"/>
      <scheme val="minor"/>
    </font>
    <font>
      <b/>
      <sz val="10"/>
      <name val="Times New Roman"/>
      <family val="1"/>
    </font>
    <font>
      <sz val="10"/>
      <name val="Times New Roman"/>
      <family val="1"/>
    </font>
    <font>
      <i/>
      <sz val="10"/>
      <name val="Times New Roman"/>
      <family val="1"/>
    </font>
    <font>
      <sz val="10"/>
      <color theme="1"/>
      <name val="Times New Roman"/>
      <family val="1"/>
    </font>
    <font>
      <b/>
      <i/>
      <sz val="11"/>
      <color theme="1"/>
      <name val="Arial"/>
      <family val="2"/>
    </font>
    <font>
      <sz val="11"/>
      <color theme="1"/>
      <name val="Times New Roman"/>
      <family val="1"/>
    </font>
    <font>
      <sz val="11"/>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22"/>
        <bgColor indexed="64"/>
      </patternFill>
    </fill>
    <fill>
      <patternFill patternType="solid">
        <fgColor theme="6" tint="0.39997558519241921"/>
        <bgColor indexed="64"/>
      </patternFill>
    </fill>
    <fill>
      <patternFill patternType="solid">
        <fgColor theme="0" tint="-0.249977111117893"/>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151">
    <xf numFmtId="0" fontId="0" fillId="0" borderId="0"/>
    <xf numFmtId="164" fontId="4" fillId="0" borderId="0">
      <alignment horizontal="left" wrapText="1"/>
    </xf>
    <xf numFmtId="9" fontId="4" fillId="0" borderId="0" applyFont="0" applyFill="0" applyBorder="0" applyAlignment="0" applyProtection="0"/>
    <xf numFmtId="0" fontId="4" fillId="0" borderId="0"/>
    <xf numFmtId="43" fontId="4" fillId="0" borderId="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 fillId="0" borderId="0"/>
    <xf numFmtId="0" fontId="5" fillId="23" borderId="7" applyNumberFormat="0" applyFont="0" applyAlignment="0" applyProtection="0"/>
    <xf numFmtId="0" fontId="18" fillId="20" borderId="8" applyNumberFormat="0" applyAlignment="0" applyProtection="0"/>
    <xf numFmtId="9" fontId="4" fillId="0" borderId="0" applyFon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2" fillId="0" borderId="0"/>
    <xf numFmtId="0" fontId="5" fillId="0" borderId="0"/>
    <xf numFmtId="0" fontId="2" fillId="0" borderId="0"/>
    <xf numFmtId="9" fontId="2" fillId="0" borderId="0" applyFont="0" applyFill="0" applyBorder="0" applyAlignment="0" applyProtection="0"/>
    <xf numFmtId="0" fontId="4" fillId="0" borderId="0"/>
    <xf numFmtId="164" fontId="4" fillId="0" borderId="0">
      <alignment horizontal="left" wrapText="1"/>
    </xf>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8" fillId="20" borderId="8" applyNumberFormat="0" applyAlignment="0" applyProtection="0"/>
    <xf numFmtId="0" fontId="18" fillId="20" borderId="8" applyNumberFormat="0" applyAlignment="0" applyProtection="0"/>
    <xf numFmtId="0" fontId="18" fillId="20"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1" fillId="0" borderId="0" applyNumberFormat="0" applyFill="0" applyBorder="0" applyAlignment="0" applyProtection="0"/>
    <xf numFmtId="0" fontId="4"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4" fontId="2"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4" fillId="0" borderId="0"/>
    <xf numFmtId="0" fontId="4" fillId="0" borderId="0"/>
    <xf numFmtId="0" fontId="4" fillId="0" borderId="0"/>
    <xf numFmtId="0" fontId="4" fillId="0" borderId="0"/>
    <xf numFmtId="166" fontId="4" fillId="0" borderId="0" applyFont="0" applyFill="0" applyBorder="0" applyAlignment="0" applyProtection="0"/>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xf numFmtId="164" fontId="4" fillId="0" borderId="0">
      <alignment horizontal="left" wrapText="1"/>
    </xf>
    <xf numFmtId="9" fontId="2" fillId="0" borderId="0" applyFont="0" applyFill="0" applyBorder="0" applyAlignment="0" applyProtection="0"/>
  </cellStyleXfs>
  <cellXfs count="681">
    <xf numFmtId="0" fontId="0" fillId="0" borderId="0" xfId="0"/>
    <xf numFmtId="0" fontId="0" fillId="0" borderId="0" xfId="0" applyAlignment="1">
      <alignment horizontal="left"/>
    </xf>
    <xf numFmtId="0" fontId="0" fillId="0" borderId="0" xfId="0" applyNumberFormat="1" applyAlignment="1">
      <alignment horizontal="left"/>
    </xf>
    <xf numFmtId="0" fontId="1" fillId="0" borderId="0" xfId="0" applyFont="1" applyAlignment="1">
      <alignment horizontal="left"/>
    </xf>
    <xf numFmtId="42" fontId="0" fillId="0" borderId="0" xfId="0" applyNumberFormat="1" applyFill="1"/>
    <xf numFmtId="0" fontId="0" fillId="0" borderId="0" xfId="0"/>
    <xf numFmtId="0" fontId="0" fillId="0" borderId="0" xfId="0" applyFill="1"/>
    <xf numFmtId="0" fontId="0" fillId="0" borderId="0" xfId="0"/>
    <xf numFmtId="165" fontId="0" fillId="0" borderId="0" xfId="0" applyNumberFormat="1"/>
    <xf numFmtId="42" fontId="0" fillId="0" borderId="0" xfId="0" applyNumberFormat="1"/>
    <xf numFmtId="0" fontId="3" fillId="0" borderId="0" xfId="0" applyFont="1"/>
    <xf numFmtId="44" fontId="0" fillId="0" borderId="0" xfId="0" applyNumberFormat="1"/>
    <xf numFmtId="0" fontId="0" fillId="0" borderId="0" xfId="0"/>
    <xf numFmtId="0" fontId="3" fillId="0" borderId="0" xfId="0" applyFont="1"/>
    <xf numFmtId="0" fontId="0" fillId="0" borderId="0" xfId="0" applyAlignment="1">
      <alignment horizontal="right"/>
    </xf>
    <xf numFmtId="0" fontId="0" fillId="0" borderId="0" xfId="0" applyFont="1"/>
    <xf numFmtId="0" fontId="0" fillId="0" borderId="0" xfId="0" applyBorder="1"/>
    <xf numFmtId="0" fontId="0" fillId="0" borderId="0" xfId="0" applyFill="1" applyBorder="1"/>
    <xf numFmtId="165" fontId="0" fillId="0" borderId="0" xfId="0" applyNumberFormat="1"/>
    <xf numFmtId="9" fontId="0" fillId="0" borderId="0" xfId="0" applyNumberFormat="1"/>
    <xf numFmtId="0" fontId="0" fillId="0" borderId="17" xfId="0" applyBorder="1"/>
    <xf numFmtId="165" fontId="0" fillId="0" borderId="17" xfId="0" applyNumberFormat="1" applyBorder="1"/>
    <xf numFmtId="3" fontId="0" fillId="0" borderId="17" xfId="0" applyNumberFormat="1" applyBorder="1"/>
    <xf numFmtId="10" fontId="0" fillId="0" borderId="0" xfId="0" applyNumberFormat="1"/>
    <xf numFmtId="0" fontId="0" fillId="24" borderId="0" xfId="0" applyFill="1"/>
    <xf numFmtId="0" fontId="0" fillId="0" borderId="17" xfId="0" applyFont="1" applyBorder="1"/>
    <xf numFmtId="3" fontId="0" fillId="0" borderId="0" xfId="0" applyNumberFormat="1" applyBorder="1"/>
    <xf numFmtId="165" fontId="0" fillId="0" borderId="0" xfId="0" applyNumberFormat="1" applyBorder="1"/>
    <xf numFmtId="168" fontId="0" fillId="0" borderId="0" xfId="0" applyNumberFormat="1" applyBorder="1"/>
    <xf numFmtId="9" fontId="0" fillId="0" borderId="0" xfId="0" applyNumberFormat="1" applyBorder="1"/>
    <xf numFmtId="0" fontId="0" fillId="0" borderId="0" xfId="0" applyFont="1" applyFill="1" applyBorder="1"/>
    <xf numFmtId="165" fontId="0" fillId="0" borderId="0" xfId="0" applyNumberFormat="1" applyFill="1" applyBorder="1"/>
    <xf numFmtId="0" fontId="3" fillId="0" borderId="0" xfId="0" applyFont="1" applyBorder="1"/>
    <xf numFmtId="170" fontId="0" fillId="0" borderId="0" xfId="0" applyNumberFormat="1" applyBorder="1"/>
    <xf numFmtId="4" fontId="0" fillId="0" borderId="0" xfId="0" applyNumberFormat="1" applyBorder="1"/>
    <xf numFmtId="2" fontId="0" fillId="0" borderId="0" xfId="0" applyNumberFormat="1"/>
    <xf numFmtId="3" fontId="0" fillId="0" borderId="0" xfId="0" applyNumberFormat="1" applyFill="1"/>
    <xf numFmtId="0" fontId="26" fillId="0" borderId="0" xfId="0" applyNumberFormat="1" applyFont="1" applyFill="1" applyBorder="1" applyAlignment="1" applyProtection="1">
      <alignment horizontal="center"/>
    </xf>
    <xf numFmtId="0" fontId="0" fillId="0" borderId="0" xfId="0"/>
    <xf numFmtId="0" fontId="0" fillId="0" borderId="0" xfId="0" applyAlignment="1">
      <alignment horizontal="left"/>
    </xf>
    <xf numFmtId="42" fontId="0" fillId="0" borderId="0" xfId="0" applyNumberFormat="1"/>
    <xf numFmtId="0" fontId="0" fillId="0" borderId="0" xfId="0" applyFill="1"/>
    <xf numFmtId="165" fontId="0" fillId="0" borderId="0" xfId="0" applyNumberFormat="1"/>
    <xf numFmtId="0" fontId="3" fillId="0" borderId="0" xfId="0" applyFont="1"/>
    <xf numFmtId="166" fontId="0" fillId="0" borderId="0" xfId="0" applyNumberFormat="1"/>
    <xf numFmtId="9" fontId="0" fillId="0" borderId="0" xfId="0" applyNumberFormat="1"/>
    <xf numFmtId="168" fontId="0" fillId="0" borderId="0" xfId="0" applyNumberFormat="1"/>
    <xf numFmtId="0" fontId="0" fillId="0" borderId="0" xfId="0" applyAlignment="1">
      <alignment horizontal="right"/>
    </xf>
    <xf numFmtId="10" fontId="0" fillId="0" borderId="0" xfId="0" applyNumberFormat="1"/>
    <xf numFmtId="0" fontId="0" fillId="0" borderId="0" xfId="0" applyFont="1" applyBorder="1"/>
    <xf numFmtId="165" fontId="0" fillId="0" borderId="0" xfId="0" applyNumberFormat="1" applyBorder="1"/>
    <xf numFmtId="2" fontId="0" fillId="0" borderId="0" xfId="0" applyNumberFormat="1"/>
    <xf numFmtId="0" fontId="0" fillId="0" borderId="0" xfId="0"/>
    <xf numFmtId="0" fontId="0" fillId="0" borderId="0" xfId="0" applyFont="1" applyBorder="1" applyAlignment="1">
      <alignment horizontal="left"/>
    </xf>
    <xf numFmtId="0" fontId="27" fillId="0" borderId="0" xfId="0" applyFont="1" applyBorder="1" applyAlignment="1">
      <alignment vertical="top" wrapText="1"/>
    </xf>
    <xf numFmtId="0" fontId="0" fillId="0" borderId="0" xfId="0" applyFont="1" applyBorder="1" applyAlignment="1"/>
    <xf numFmtId="0" fontId="27" fillId="0" borderId="0" xfId="0" applyFont="1" applyBorder="1" applyAlignment="1">
      <alignment vertical="top"/>
    </xf>
    <xf numFmtId="0" fontId="5" fillId="0" borderId="0" xfId="0" applyFont="1" applyBorder="1" applyAlignment="1">
      <alignment vertical="top" wrapText="1"/>
    </xf>
    <xf numFmtId="3" fontId="0" fillId="0" borderId="0" xfId="0" applyNumberFormat="1"/>
    <xf numFmtId="0" fontId="0" fillId="0" borderId="0" xfId="0"/>
    <xf numFmtId="0" fontId="3" fillId="0" borderId="0" xfId="0" applyFont="1"/>
    <xf numFmtId="0" fontId="0" fillId="0" borderId="0" xfId="0" applyFont="1"/>
    <xf numFmtId="0" fontId="0" fillId="0" borderId="0" xfId="0" applyFill="1"/>
    <xf numFmtId="0" fontId="0" fillId="0" borderId="0" xfId="0" applyFill="1" applyBorder="1"/>
    <xf numFmtId="0" fontId="0" fillId="0" borderId="0" xfId="0" applyAlignment="1">
      <alignment horizontal="right"/>
    </xf>
    <xf numFmtId="42" fontId="0" fillId="0" borderId="0" xfId="0" applyNumberFormat="1"/>
    <xf numFmtId="44" fontId="0" fillId="0" borderId="0" xfId="0" applyNumberFormat="1"/>
    <xf numFmtId="0" fontId="0" fillId="0" borderId="0" xfId="0"/>
    <xf numFmtId="0" fontId="0" fillId="0" borderId="0" xfId="0" applyBorder="1"/>
    <xf numFmtId="167" fontId="0" fillId="0" borderId="0" xfId="0" applyNumberFormat="1" applyFill="1"/>
    <xf numFmtId="1" fontId="0" fillId="0" borderId="0" xfId="0" applyNumberFormat="1" applyAlignment="1">
      <alignment horizontal="center"/>
    </xf>
    <xf numFmtId="42" fontId="3" fillId="0" borderId="0" xfId="0" applyNumberFormat="1" applyFont="1" applyFill="1"/>
    <xf numFmtId="0" fontId="0" fillId="0" borderId="0" xfId="0"/>
    <xf numFmtId="0" fontId="3" fillId="0" borderId="0" xfId="0" applyFont="1" applyAlignment="1">
      <alignment horizontal="left"/>
    </xf>
    <xf numFmtId="1" fontId="0" fillId="0" borderId="0" xfId="0" applyNumberFormat="1" applyBorder="1"/>
    <xf numFmtId="0" fontId="0" fillId="0" borderId="20" xfId="0" applyBorder="1"/>
    <xf numFmtId="0" fontId="0" fillId="0" borderId="20" xfId="0" applyBorder="1" applyAlignment="1">
      <alignment horizontal="left" vertical="center"/>
    </xf>
    <xf numFmtId="42" fontId="0" fillId="0" borderId="0" xfId="0" applyNumberFormat="1" applyFill="1" applyBorder="1"/>
    <xf numFmtId="0" fontId="0" fillId="0" borderId="0" xfId="0" applyAlignment="1">
      <alignment wrapText="1"/>
    </xf>
    <xf numFmtId="0" fontId="0" fillId="0" borderId="0" xfId="0" applyAlignment="1">
      <alignment vertical="center"/>
    </xf>
    <xf numFmtId="0" fontId="30" fillId="0" borderId="0" xfId="0" applyFont="1"/>
    <xf numFmtId="0" fontId="0" fillId="0" borderId="0" xfId="0" applyFont="1" applyFill="1"/>
    <xf numFmtId="0" fontId="0" fillId="0" borderId="17" xfId="0" applyFill="1" applyBorder="1"/>
    <xf numFmtId="169" fontId="0" fillId="0" borderId="0" xfId="0" applyNumberFormat="1"/>
    <xf numFmtId="0" fontId="3" fillId="0" borderId="0" xfId="0" applyFont="1" applyFill="1"/>
    <xf numFmtId="0" fontId="0" fillId="0" borderId="0" xfId="0" applyFont="1" applyAlignment="1">
      <alignment horizontal="left"/>
    </xf>
    <xf numFmtId="165" fontId="0" fillId="0" borderId="0" xfId="0" applyNumberFormat="1" applyAlignment="1">
      <alignment horizontal="right"/>
    </xf>
    <xf numFmtId="1" fontId="0" fillId="0" borderId="0" xfId="0" applyNumberFormat="1" applyFill="1" applyAlignment="1">
      <alignment horizontal="center"/>
    </xf>
    <xf numFmtId="0" fontId="0" fillId="0" borderId="0" xfId="0" applyFont="1" applyAlignment="1">
      <alignment horizontal="left" vertical="center"/>
    </xf>
    <xf numFmtId="0" fontId="0" fillId="0" borderId="0" xfId="0" applyFont="1" applyAlignment="1">
      <alignment wrapText="1"/>
    </xf>
    <xf numFmtId="3" fontId="0" fillId="0" borderId="0" xfId="0" applyNumberFormat="1" applyFill="1" applyBorder="1"/>
    <xf numFmtId="42" fontId="0" fillId="0" borderId="0" xfId="0" applyNumberFormat="1" applyFont="1" applyFill="1"/>
    <xf numFmtId="42" fontId="22" fillId="0" borderId="0" xfId="0" applyNumberFormat="1" applyFont="1" applyFill="1"/>
    <xf numFmtId="9" fontId="3" fillId="0" borderId="0" xfId="0" applyNumberFormat="1" applyFont="1" applyFill="1"/>
    <xf numFmtId="166" fontId="0" fillId="0" borderId="0" xfId="0" applyNumberFormat="1" applyFill="1"/>
    <xf numFmtId="42" fontId="3" fillId="0" borderId="0" xfId="0" applyNumberFormat="1" applyFont="1"/>
    <xf numFmtId="42" fontId="0" fillId="0" borderId="0" xfId="0" applyNumberFormat="1" applyFont="1"/>
    <xf numFmtId="9" fontId="0" fillId="0" borderId="0" xfId="0" applyNumberFormat="1" applyFont="1" applyFill="1"/>
    <xf numFmtId="166" fontId="0" fillId="0" borderId="0" xfId="0" applyNumberFormat="1" applyFont="1" applyFill="1"/>
    <xf numFmtId="166" fontId="3" fillId="0" borderId="0" xfId="0" applyNumberFormat="1" applyFont="1" applyFill="1"/>
    <xf numFmtId="0" fontId="5" fillId="0" borderId="0" xfId="0" applyFont="1" applyBorder="1" applyAlignment="1">
      <alignment vertical="top" wrapText="1"/>
    </xf>
    <xf numFmtId="49" fontId="3" fillId="0" borderId="0" xfId="0" applyNumberFormat="1" applyFont="1" applyFill="1" applyAlignment="1">
      <alignment horizontal="left"/>
    </xf>
    <xf numFmtId="1" fontId="3" fillId="0" borderId="0" xfId="0" applyNumberFormat="1" applyFont="1"/>
    <xf numFmtId="37" fontId="3" fillId="0" borderId="0" xfId="0" applyNumberFormat="1" applyFont="1"/>
    <xf numFmtId="0" fontId="3" fillId="0" borderId="0" xfId="0" applyFont="1" applyAlignment="1">
      <alignment horizontal="right"/>
    </xf>
    <xf numFmtId="0" fontId="32" fillId="0" borderId="0" xfId="0" applyFont="1"/>
    <xf numFmtId="0" fontId="32" fillId="0" borderId="0" xfId="0" applyFont="1" applyAlignment="1">
      <alignment horizontal="left"/>
    </xf>
    <xf numFmtId="0" fontId="5" fillId="0" borderId="17" xfId="0" applyFont="1" applyBorder="1" applyAlignment="1">
      <alignment vertical="top" wrapText="1"/>
    </xf>
    <xf numFmtId="165" fontId="0" fillId="0" borderId="17" xfId="0" applyNumberFormat="1" applyFont="1" applyBorder="1"/>
    <xf numFmtId="0" fontId="27" fillId="0" borderId="17" xfId="0" applyFont="1" applyFill="1" applyBorder="1" applyAlignment="1">
      <alignment vertical="top"/>
    </xf>
    <xf numFmtId="168" fontId="0" fillId="0" borderId="0" xfId="0" applyNumberFormat="1" applyAlignment="1">
      <alignment horizontal="right"/>
    </xf>
    <xf numFmtId="9" fontId="0" fillId="0" borderId="0" xfId="0" applyNumberFormat="1" applyFont="1"/>
    <xf numFmtId="42" fontId="0" fillId="0" borderId="0" xfId="133" applyNumberFormat="1" applyFont="1"/>
    <xf numFmtId="9" fontId="28" fillId="0" borderId="0" xfId="0" applyNumberFormat="1" applyFont="1" applyBorder="1"/>
    <xf numFmtId="42" fontId="0" fillId="0" borderId="17" xfId="133" applyNumberFormat="1" applyFont="1" applyBorder="1"/>
    <xf numFmtId="165" fontId="0" fillId="0" borderId="0" xfId="0" applyNumberFormat="1" applyFont="1"/>
    <xf numFmtId="0" fontId="0" fillId="0" borderId="17" xfId="0" applyFont="1" applyFill="1" applyBorder="1"/>
    <xf numFmtId="169" fontId="0" fillId="0" borderId="0" xfId="133" applyNumberFormat="1" applyFont="1"/>
    <xf numFmtId="169" fontId="0" fillId="0" borderId="17" xfId="133" applyNumberFormat="1" applyFont="1" applyBorder="1"/>
    <xf numFmtId="3" fontId="29" fillId="0" borderId="0" xfId="0" applyNumberFormat="1" applyFont="1"/>
    <xf numFmtId="169" fontId="3" fillId="0" borderId="0" xfId="0" applyNumberFormat="1" applyFont="1" applyFill="1"/>
    <xf numFmtId="0" fontId="33" fillId="0" borderId="0" xfId="134"/>
    <xf numFmtId="14" fontId="0" fillId="0" borderId="0" xfId="0" applyNumberFormat="1" applyAlignment="1">
      <alignment horizontal="left"/>
    </xf>
    <xf numFmtId="1" fontId="3" fillId="0" borderId="0" xfId="0" applyNumberFormat="1" applyFont="1" applyFill="1"/>
    <xf numFmtId="1" fontId="0" fillId="0" borderId="0" xfId="0" applyNumberFormat="1" applyFill="1"/>
    <xf numFmtId="0" fontId="29" fillId="0" borderId="0" xfId="0" applyFont="1"/>
    <xf numFmtId="9" fontId="3" fillId="0" borderId="0" xfId="0" applyNumberFormat="1" applyFont="1"/>
    <xf numFmtId="0" fontId="4" fillId="25" borderId="11" xfId="3" applyFill="1" applyBorder="1"/>
    <xf numFmtId="0" fontId="4" fillId="0" borderId="0" xfId="3" applyBorder="1"/>
    <xf numFmtId="0" fontId="4" fillId="0" borderId="0" xfId="3"/>
    <xf numFmtId="0" fontId="4" fillId="0" borderId="0" xfId="3" applyFont="1" applyAlignment="1">
      <alignment wrapText="1"/>
    </xf>
    <xf numFmtId="0" fontId="23" fillId="0" borderId="0" xfId="3" applyFont="1" applyBorder="1"/>
    <xf numFmtId="0" fontId="23" fillId="0" borderId="0" xfId="3" applyFont="1"/>
    <xf numFmtId="0" fontId="35" fillId="0" borderId="0" xfId="3" applyFont="1"/>
    <xf numFmtId="0" fontId="4" fillId="0" borderId="0" xfId="3" applyBorder="1" applyAlignment="1">
      <alignment horizontal="left"/>
    </xf>
    <xf numFmtId="0" fontId="4" fillId="0" borderId="0" xfId="3" applyFill="1" applyBorder="1" applyAlignment="1">
      <alignment horizontal="left"/>
    </xf>
    <xf numFmtId="0" fontId="4" fillId="24" borderId="0" xfId="3" applyFill="1" applyBorder="1" applyAlignment="1">
      <alignment horizontal="right"/>
    </xf>
    <xf numFmtId="0" fontId="35" fillId="0" borderId="0" xfId="3" applyFont="1" applyBorder="1"/>
    <xf numFmtId="0" fontId="4" fillId="0" borderId="0" xfId="3" applyFill="1" applyBorder="1"/>
    <xf numFmtId="167" fontId="4" fillId="0" borderId="0" xfId="3" applyNumberFormat="1" applyBorder="1"/>
    <xf numFmtId="0" fontId="23" fillId="0" borderId="0" xfId="3" applyFont="1" applyFill="1"/>
    <xf numFmtId="0" fontId="4" fillId="0" borderId="0" xfId="3" applyFill="1"/>
    <xf numFmtId="9" fontId="4" fillId="26" borderId="12" xfId="3" applyNumberFormat="1" applyFill="1" applyBorder="1"/>
    <xf numFmtId="2" fontId="4" fillId="0" borderId="0" xfId="3" applyNumberFormat="1"/>
    <xf numFmtId="172" fontId="4" fillId="0" borderId="0" xfId="3" applyNumberFormat="1"/>
    <xf numFmtId="0" fontId="4" fillId="0" borderId="0" xfId="3" applyFont="1" applyBorder="1"/>
    <xf numFmtId="0" fontId="4" fillId="24" borderId="0" xfId="3" applyFill="1" applyBorder="1"/>
    <xf numFmtId="166" fontId="4" fillId="0" borderId="0" xfId="3" applyNumberFormat="1"/>
    <xf numFmtId="166" fontId="4" fillId="0" borderId="12" xfId="3" applyNumberFormat="1" applyBorder="1"/>
    <xf numFmtId="3" fontId="4" fillId="0" borderId="0" xfId="3" applyNumberFormat="1"/>
    <xf numFmtId="0" fontId="28" fillId="0" borderId="0" xfId="0" applyFont="1" applyFill="1" applyBorder="1"/>
    <xf numFmtId="10" fontId="4" fillId="24" borderId="12" xfId="3" applyNumberFormat="1" applyFill="1" applyBorder="1"/>
    <xf numFmtId="166" fontId="4" fillId="26" borderId="12" xfId="3" applyNumberFormat="1" applyFont="1" applyFill="1" applyBorder="1" applyAlignment="1">
      <alignment horizontal="right"/>
    </xf>
    <xf numFmtId="166" fontId="4" fillId="26" borderId="12" xfId="3" applyNumberFormat="1" applyFont="1" applyFill="1" applyBorder="1"/>
    <xf numFmtId="40" fontId="4" fillId="0" borderId="0" xfId="3" applyNumberFormat="1"/>
    <xf numFmtId="3" fontId="4" fillId="0" borderId="0" xfId="3" applyNumberFormat="1" applyBorder="1"/>
    <xf numFmtId="166" fontId="4" fillId="24" borderId="0" xfId="3" applyNumberFormat="1" applyFill="1" applyBorder="1"/>
    <xf numFmtId="172" fontId="4" fillId="24" borderId="0" xfId="3" applyNumberFormat="1" applyFill="1" applyBorder="1"/>
    <xf numFmtId="174" fontId="4" fillId="0" borderId="0" xfId="3" applyNumberFormat="1"/>
    <xf numFmtId="171" fontId="4" fillId="0" borderId="0" xfId="3" applyNumberFormat="1"/>
    <xf numFmtId="44" fontId="3" fillId="0" borderId="0" xfId="0" applyNumberFormat="1" applyFont="1"/>
    <xf numFmtId="169" fontId="3" fillId="0" borderId="0" xfId="0" applyNumberFormat="1" applyFont="1"/>
    <xf numFmtId="169" fontId="0" fillId="0" borderId="0" xfId="0" applyNumberFormat="1" applyFont="1"/>
    <xf numFmtId="44" fontId="0" fillId="0" borderId="0" xfId="0" applyNumberFormat="1" applyFont="1"/>
    <xf numFmtId="1" fontId="0" fillId="0" borderId="0" xfId="0" applyNumberFormat="1" applyFont="1" applyFill="1"/>
    <xf numFmtId="2" fontId="0" fillId="0" borderId="0" xfId="0" applyNumberFormat="1" applyFont="1" applyFill="1"/>
    <xf numFmtId="0" fontId="3" fillId="0" borderId="17" xfId="0" applyFont="1" applyBorder="1" applyAlignment="1">
      <alignment horizontal="left"/>
    </xf>
    <xf numFmtId="0" fontId="3" fillId="0" borderId="17" xfId="0" applyFont="1" applyBorder="1"/>
    <xf numFmtId="169" fontId="3" fillId="0" borderId="17" xfId="0" applyNumberFormat="1" applyFont="1" applyBorder="1"/>
    <xf numFmtId="166" fontId="3" fillId="0" borderId="17" xfId="0" applyNumberFormat="1" applyFont="1" applyBorder="1"/>
    <xf numFmtId="44" fontId="3" fillId="0" borderId="17" xfId="0" applyNumberFormat="1" applyFont="1" applyBorder="1"/>
    <xf numFmtId="2" fontId="3" fillId="0" borderId="17" xfId="0" applyNumberFormat="1" applyFont="1" applyFill="1" applyBorder="1"/>
    <xf numFmtId="9" fontId="3" fillId="0" borderId="17" xfId="0" applyNumberFormat="1" applyFont="1" applyFill="1" applyBorder="1"/>
    <xf numFmtId="166" fontId="3" fillId="0" borderId="17" xfId="0" applyNumberFormat="1" applyFont="1" applyFill="1" applyBorder="1"/>
    <xf numFmtId="3" fontId="0" fillId="0" borderId="0" xfId="0" applyNumberFormat="1" applyFont="1"/>
    <xf numFmtId="175" fontId="3" fillId="0" borderId="0" xfId="0" applyNumberFormat="1" applyFont="1"/>
    <xf numFmtId="175" fontId="0" fillId="0" borderId="0" xfId="0" applyNumberFormat="1" applyFont="1"/>
    <xf numFmtId="0" fontId="0" fillId="0" borderId="0" xfId="0" applyNumberFormat="1" applyFont="1" applyAlignment="1">
      <alignment horizontal="left"/>
    </xf>
    <xf numFmtId="175" fontId="3" fillId="0" borderId="17" xfId="0" applyNumberFormat="1" applyFont="1" applyBorder="1"/>
    <xf numFmtId="165" fontId="3" fillId="0" borderId="17" xfId="0" applyNumberFormat="1" applyFont="1" applyBorder="1"/>
    <xf numFmtId="0" fontId="25" fillId="25" borderId="11" xfId="3" applyFont="1" applyFill="1" applyBorder="1"/>
    <xf numFmtId="0" fontId="4" fillId="25" borderId="11" xfId="3" applyFill="1" applyBorder="1"/>
    <xf numFmtId="0" fontId="4" fillId="0" borderId="0" xfId="3" applyBorder="1"/>
    <xf numFmtId="0" fontId="4" fillId="0" borderId="0" xfId="3"/>
    <xf numFmtId="0" fontId="23" fillId="0" borderId="0" xfId="3" applyFont="1" applyBorder="1"/>
    <xf numFmtId="0" fontId="31" fillId="0" borderId="0" xfId="3" applyFont="1" applyBorder="1"/>
    <xf numFmtId="0" fontId="37" fillId="0" borderId="0" xfId="3" applyFont="1" applyBorder="1"/>
    <xf numFmtId="0" fontId="4" fillId="0" borderId="17" xfId="3" applyBorder="1"/>
    <xf numFmtId="0" fontId="4" fillId="0" borderId="21" xfId="3" applyBorder="1"/>
    <xf numFmtId="0" fontId="38" fillId="0" borderId="0" xfId="3" applyFont="1" applyBorder="1"/>
    <xf numFmtId="0" fontId="4" fillId="0" borderId="16" xfId="3" applyBorder="1"/>
    <xf numFmtId="2" fontId="4" fillId="26" borderId="12" xfId="3" applyNumberFormat="1" applyFill="1" applyBorder="1"/>
    <xf numFmtId="0" fontId="4" fillId="0" borderId="17" xfId="3" applyFont="1" applyBorder="1"/>
    <xf numFmtId="172" fontId="4" fillId="0" borderId="12" xfId="3" applyNumberFormat="1" applyBorder="1"/>
    <xf numFmtId="0" fontId="4" fillId="0" borderId="12" xfId="3" applyBorder="1"/>
    <xf numFmtId="0" fontId="36" fillId="0" borderId="0" xfId="3" applyFont="1" applyBorder="1"/>
    <xf numFmtId="0" fontId="4" fillId="0" borderId="17" xfId="3" applyFont="1" applyFill="1" applyBorder="1"/>
    <xf numFmtId="0" fontId="4" fillId="26" borderId="12" xfId="3" applyFill="1" applyBorder="1"/>
    <xf numFmtId="0" fontId="4" fillId="0" borderId="11" xfId="3" applyFont="1" applyBorder="1"/>
    <xf numFmtId="0" fontId="4" fillId="0" borderId="12" xfId="3" applyFont="1" applyBorder="1"/>
    <xf numFmtId="0" fontId="4" fillId="0" borderId="11" xfId="3" applyFill="1" applyBorder="1"/>
    <xf numFmtId="0" fontId="4" fillId="0" borderId="11" xfId="3" applyBorder="1"/>
    <xf numFmtId="0" fontId="4" fillId="0" borderId="0" xfId="3" applyFill="1" applyBorder="1"/>
    <xf numFmtId="0" fontId="4" fillId="0" borderId="20" xfId="3" applyBorder="1"/>
    <xf numFmtId="0" fontId="4" fillId="0" borderId="14" xfId="3" applyBorder="1" applyAlignment="1">
      <alignment horizontal="left"/>
    </xf>
    <xf numFmtId="0" fontId="4" fillId="0" borderId="17" xfId="3" applyBorder="1" applyAlignment="1">
      <alignment horizontal="right"/>
    </xf>
    <xf numFmtId="0" fontId="4" fillId="0" borderId="10" xfId="3" applyFont="1" applyBorder="1"/>
    <xf numFmtId="0" fontId="4" fillId="0" borderId="13" xfId="3" applyBorder="1"/>
    <xf numFmtId="172" fontId="4" fillId="0" borderId="13" xfId="3" applyNumberFormat="1" applyBorder="1"/>
    <xf numFmtId="0" fontId="4" fillId="0" borderId="0" xfId="3" applyBorder="1" applyAlignment="1">
      <alignment horizontal="left"/>
    </xf>
    <xf numFmtId="0" fontId="4" fillId="0" borderId="10" xfId="3" applyBorder="1"/>
    <xf numFmtId="10" fontId="4" fillId="0" borderId="13" xfId="3" applyNumberFormat="1" applyBorder="1"/>
    <xf numFmtId="0" fontId="4" fillId="0" borderId="20" xfId="3" applyFill="1" applyBorder="1"/>
    <xf numFmtId="3" fontId="4" fillId="0" borderId="13" xfId="3" applyNumberFormat="1" applyBorder="1"/>
    <xf numFmtId="3" fontId="4" fillId="0" borderId="12" xfId="3" applyNumberFormat="1" applyBorder="1"/>
    <xf numFmtId="0" fontId="37" fillId="0" borderId="0" xfId="3" applyFont="1" applyFill="1" applyBorder="1"/>
    <xf numFmtId="3" fontId="4" fillId="0" borderId="13" xfId="3" applyNumberFormat="1" applyFont="1" applyBorder="1"/>
    <xf numFmtId="3" fontId="4" fillId="0" borderId="12" xfId="3" applyNumberFormat="1" applyFont="1" applyBorder="1"/>
    <xf numFmtId="0" fontId="31" fillId="0" borderId="0" xfId="3" applyFont="1" applyFill="1" applyBorder="1"/>
    <xf numFmtId="165" fontId="4" fillId="0" borderId="0" xfId="3" applyNumberFormat="1" applyBorder="1"/>
    <xf numFmtId="0" fontId="4" fillId="0" borderId="0" xfId="3" applyBorder="1" applyAlignment="1">
      <alignment horizontal="right"/>
    </xf>
    <xf numFmtId="165" fontId="0" fillId="0" borderId="0" xfId="4" applyNumberFormat="1" applyFont="1" applyBorder="1"/>
    <xf numFmtId="165" fontId="0" fillId="0" borderId="0" xfId="4" applyNumberFormat="1" applyFont="1" applyFill="1" applyBorder="1"/>
    <xf numFmtId="165" fontId="4" fillId="0" borderId="0" xfId="4" applyNumberFormat="1" applyFont="1" applyFill="1" applyBorder="1"/>
    <xf numFmtId="165" fontId="4" fillId="0" borderId="0" xfId="3" applyNumberFormat="1" applyFill="1" applyBorder="1"/>
    <xf numFmtId="3" fontId="4" fillId="0" borderId="0" xfId="3" applyNumberFormat="1" applyBorder="1"/>
    <xf numFmtId="2" fontId="4" fillId="0" borderId="12" xfId="3" applyNumberFormat="1" applyBorder="1"/>
    <xf numFmtId="2" fontId="4" fillId="0" borderId="12" xfId="3" applyNumberFormat="1" applyFont="1" applyFill="1" applyBorder="1"/>
    <xf numFmtId="0" fontId="3" fillId="0" borderId="0" xfId="0" applyFont="1" applyBorder="1" applyAlignment="1">
      <alignment horizontal="left"/>
    </xf>
    <xf numFmtId="0" fontId="3" fillId="0" borderId="0" xfId="0" applyFont="1" applyBorder="1" applyAlignment="1"/>
    <xf numFmtId="3" fontId="0" fillId="0" borderId="0" xfId="0" applyNumberFormat="1"/>
    <xf numFmtId="42" fontId="0" fillId="0" borderId="0" xfId="0" applyNumberFormat="1" applyFill="1"/>
    <xf numFmtId="169" fontId="0" fillId="0" borderId="0" xfId="133" applyNumberFormat="1" applyFont="1" applyFill="1"/>
    <xf numFmtId="42" fontId="0" fillId="0" borderId="0" xfId="0" applyNumberFormat="1" applyFont="1" applyBorder="1"/>
    <xf numFmtId="44" fontId="39" fillId="0" borderId="0" xfId="0" applyNumberFormat="1" applyFont="1" applyBorder="1"/>
    <xf numFmtId="9" fontId="0" fillId="0" borderId="0" xfId="0" applyNumberFormat="1" applyFont="1" applyBorder="1"/>
    <xf numFmtId="0" fontId="27" fillId="0" borderId="17" xfId="0" applyFont="1" applyFill="1" applyBorder="1" applyAlignment="1">
      <alignment vertical="top" wrapText="1"/>
    </xf>
    <xf numFmtId="9" fontId="0" fillId="0" borderId="0" xfId="0" applyNumberFormat="1" applyFill="1"/>
    <xf numFmtId="169" fontId="0" fillId="0" borderId="17" xfId="0" applyNumberFormat="1" applyBorder="1"/>
    <xf numFmtId="44" fontId="0" fillId="0" borderId="0" xfId="0" applyNumberFormat="1" applyFont="1" applyBorder="1"/>
    <xf numFmtId="0" fontId="0" fillId="0" borderId="0" xfId="0"/>
    <xf numFmtId="0" fontId="3" fillId="0" borderId="0" xfId="0" applyFont="1"/>
    <xf numFmtId="9" fontId="0" fillId="0" borderId="0" xfId="0" applyNumberFormat="1"/>
    <xf numFmtId="0" fontId="0" fillId="0" borderId="0" xfId="0" applyAlignment="1">
      <alignment horizontal="right"/>
    </xf>
    <xf numFmtId="0" fontId="0" fillId="0" borderId="0" xfId="0" applyBorder="1"/>
    <xf numFmtId="0" fontId="0" fillId="0" borderId="0" xfId="0" applyFill="1" applyBorder="1"/>
    <xf numFmtId="3" fontId="0" fillId="0" borderId="0" xfId="0" applyNumberFormat="1"/>
    <xf numFmtId="0" fontId="0" fillId="0" borderId="17" xfId="0" applyBorder="1"/>
    <xf numFmtId="165" fontId="0" fillId="0" borderId="17" xfId="0" applyNumberFormat="1" applyBorder="1"/>
    <xf numFmtId="0" fontId="0" fillId="0" borderId="17" xfId="0" applyFont="1" applyBorder="1"/>
    <xf numFmtId="165" fontId="0" fillId="0" borderId="0" xfId="0" applyNumberFormat="1" applyFill="1"/>
    <xf numFmtId="0" fontId="4" fillId="0" borderId="0" xfId="3" applyBorder="1"/>
    <xf numFmtId="0" fontId="4" fillId="0" borderId="0" xfId="3"/>
    <xf numFmtId="0" fontId="4" fillId="0" borderId="0" xfId="3" applyFont="1" applyAlignment="1">
      <alignment wrapText="1"/>
    </xf>
    <xf numFmtId="169" fontId="0" fillId="0" borderId="0" xfId="133" applyNumberFormat="1" applyFont="1"/>
    <xf numFmtId="0" fontId="0" fillId="0" borderId="0" xfId="0" applyFill="1" applyBorder="1" applyAlignment="1">
      <alignment horizontal="right"/>
    </xf>
    <xf numFmtId="169" fontId="0" fillId="0" borderId="0" xfId="133" applyNumberFormat="1" applyFont="1" applyFill="1" applyBorder="1"/>
    <xf numFmtId="169" fontId="0" fillId="0" borderId="17" xfId="133" applyNumberFormat="1" applyFont="1" applyFill="1" applyBorder="1"/>
    <xf numFmtId="0" fontId="0" fillId="0" borderId="0" xfId="0" applyBorder="1" applyAlignment="1">
      <alignment vertical="center"/>
    </xf>
    <xf numFmtId="0" fontId="0" fillId="0" borderId="0" xfId="0" applyBorder="1" applyAlignment="1">
      <alignment horizontal="left" vertical="center"/>
    </xf>
    <xf numFmtId="169" fontId="0" fillId="0" borderId="0" xfId="133" applyNumberFormat="1" applyFont="1" applyBorder="1"/>
    <xf numFmtId="169" fontId="0" fillId="0" borderId="20" xfId="133" applyNumberFormat="1" applyFont="1" applyBorder="1"/>
    <xf numFmtId="0" fontId="0" fillId="0" borderId="0" xfId="0" applyFill="1" applyBorder="1" applyAlignment="1">
      <alignment vertical="center"/>
    </xf>
    <xf numFmtId="0" fontId="0" fillId="0" borderId="0" xfId="0" applyFill="1" applyBorder="1" applyAlignment="1">
      <alignment horizontal="left" vertical="center"/>
    </xf>
    <xf numFmtId="9" fontId="0" fillId="0" borderId="0" xfId="0" applyNumberFormat="1" applyFill="1" applyBorder="1"/>
    <xf numFmtId="0" fontId="28" fillId="0" borderId="17" xfId="0" applyFont="1" applyFill="1" applyBorder="1" applyAlignment="1"/>
    <xf numFmtId="0" fontId="28" fillId="0" borderId="0" xfId="0" applyFont="1" applyBorder="1"/>
    <xf numFmtId="0" fontId="40" fillId="0" borderId="0" xfId="0" applyFont="1" applyFill="1" applyBorder="1" applyAlignment="1">
      <alignment horizontal="center"/>
    </xf>
    <xf numFmtId="0" fontId="28" fillId="27" borderId="18" xfId="0" applyFont="1" applyFill="1" applyBorder="1" applyAlignment="1"/>
    <xf numFmtId="165" fontId="28" fillId="0" borderId="0" xfId="0" applyNumberFormat="1" applyFont="1" applyBorder="1"/>
    <xf numFmtId="0" fontId="28" fillId="27" borderId="15" xfId="0" applyFont="1" applyFill="1" applyBorder="1" applyAlignment="1"/>
    <xf numFmtId="3" fontId="28" fillId="0" borderId="12" xfId="0" applyNumberFormat="1" applyFont="1" applyBorder="1"/>
    <xf numFmtId="9" fontId="23" fillId="0" borderId="12" xfId="2" applyFont="1" applyFill="1" applyBorder="1" applyAlignment="1">
      <alignment horizontal="center"/>
    </xf>
    <xf numFmtId="0" fontId="40" fillId="0" borderId="0" xfId="0" applyFont="1" applyFill="1" applyBorder="1" applyAlignment="1">
      <alignment horizontal="center" wrapText="1"/>
    </xf>
    <xf numFmtId="0" fontId="0" fillId="0" borderId="0" xfId="0"/>
    <xf numFmtId="0" fontId="0" fillId="0" borderId="0" xfId="0" applyFill="1" applyBorder="1"/>
    <xf numFmtId="0" fontId="28" fillId="0" borderId="10" xfId="0" applyFont="1" applyBorder="1"/>
    <xf numFmtId="165" fontId="28" fillId="0" borderId="12" xfId="0" applyNumberFormat="1" applyFont="1" applyBorder="1"/>
    <xf numFmtId="0" fontId="0" fillId="0" borderId="0" xfId="0"/>
    <xf numFmtId="165" fontId="28" fillId="0" borderId="12" xfId="0" applyNumberFormat="1" applyFont="1" applyBorder="1"/>
    <xf numFmtId="0" fontId="0" fillId="0" borderId="0" xfId="0"/>
    <xf numFmtId="0" fontId="0" fillId="0" borderId="12" xfId="0" applyBorder="1"/>
    <xf numFmtId="167" fontId="0" fillId="0" borderId="12" xfId="0" applyNumberFormat="1" applyBorder="1"/>
    <xf numFmtId="0" fontId="28" fillId="0" borderId="10" xfId="0" applyFont="1" applyBorder="1"/>
    <xf numFmtId="166" fontId="28" fillId="0" borderId="12" xfId="0" applyNumberFormat="1" applyFont="1" applyBorder="1"/>
    <xf numFmtId="170" fontId="28" fillId="0" borderId="12" xfId="0" applyNumberFormat="1" applyFont="1" applyBorder="1"/>
    <xf numFmtId="0" fontId="40" fillId="27" borderId="18" xfId="0" applyFont="1" applyFill="1" applyBorder="1" applyAlignment="1">
      <alignment horizontal="center"/>
    </xf>
    <xf numFmtId="0" fontId="40" fillId="27" borderId="12" xfId="0" applyFont="1" applyFill="1" applyBorder="1" applyAlignment="1">
      <alignment horizontal="center"/>
    </xf>
    <xf numFmtId="0" fontId="40" fillId="27" borderId="15" xfId="0" applyFont="1" applyFill="1" applyBorder="1" applyAlignment="1">
      <alignment horizontal="center"/>
    </xf>
    <xf numFmtId="0" fontId="28" fillId="0" borderId="10" xfId="0" applyFont="1" applyBorder="1"/>
    <xf numFmtId="165" fontId="28" fillId="0" borderId="12" xfId="0" applyNumberFormat="1" applyFont="1" applyBorder="1"/>
    <xf numFmtId="0" fontId="28" fillId="0" borderId="10" xfId="0" applyFont="1" applyBorder="1"/>
    <xf numFmtId="165" fontId="28" fillId="0" borderId="12" xfId="0" applyNumberFormat="1" applyFont="1" applyBorder="1"/>
    <xf numFmtId="166" fontId="0" fillId="0" borderId="0" xfId="0" applyNumberFormat="1"/>
    <xf numFmtId="0" fontId="0" fillId="0" borderId="12" xfId="0" applyBorder="1"/>
    <xf numFmtId="166" fontId="28" fillId="0" borderId="12" xfId="0" applyNumberFormat="1" applyFont="1" applyBorder="1"/>
    <xf numFmtId="0" fontId="28" fillId="0" borderId="12" xfId="0" applyFont="1" applyBorder="1"/>
    <xf numFmtId="167" fontId="28" fillId="0" borderId="12" xfId="0" applyNumberFormat="1" applyFont="1" applyBorder="1"/>
    <xf numFmtId="0" fontId="0" fillId="0" borderId="10" xfId="0" applyBorder="1"/>
    <xf numFmtId="0" fontId="0" fillId="0" borderId="13" xfId="0" applyBorder="1"/>
    <xf numFmtId="0" fontId="40" fillId="27" borderId="12" xfId="0" applyFont="1" applyFill="1" applyBorder="1" applyAlignment="1">
      <alignment horizontal="center"/>
    </xf>
    <xf numFmtId="0" fontId="0" fillId="0" borderId="0" xfId="0"/>
    <xf numFmtId="0" fontId="28" fillId="0" borderId="0" xfId="0" applyFont="1" applyFill="1" applyBorder="1"/>
    <xf numFmtId="0" fontId="0" fillId="0" borderId="12" xfId="0" applyBorder="1"/>
    <xf numFmtId="166" fontId="28" fillId="0" borderId="12" xfId="0" applyNumberFormat="1" applyFont="1" applyBorder="1"/>
    <xf numFmtId="0" fontId="28" fillId="0" borderId="12" xfId="0" applyFont="1" applyBorder="1"/>
    <xf numFmtId="167" fontId="28" fillId="0" borderId="12" xfId="0" applyNumberFormat="1" applyFont="1" applyBorder="1"/>
    <xf numFmtId="0" fontId="0" fillId="0" borderId="10" xfId="0" applyBorder="1"/>
    <xf numFmtId="0" fontId="0" fillId="0" borderId="13" xfId="0" applyBorder="1"/>
    <xf numFmtId="0" fontId="40" fillId="27" borderId="18" xfId="0" applyFont="1" applyFill="1" applyBorder="1" applyAlignment="1">
      <alignment horizontal="center"/>
    </xf>
    <xf numFmtId="0" fontId="40" fillId="27" borderId="12" xfId="0" applyFont="1" applyFill="1" applyBorder="1" applyAlignment="1">
      <alignment horizontal="center"/>
    </xf>
    <xf numFmtId="0" fontId="0" fillId="0" borderId="0" xfId="0"/>
    <xf numFmtId="2" fontId="0" fillId="0" borderId="0" xfId="0" applyNumberFormat="1"/>
    <xf numFmtId="0" fontId="23" fillId="0" borderId="12" xfId="55" applyFont="1" applyBorder="1"/>
    <xf numFmtId="0" fontId="4" fillId="0" borderId="12" xfId="55" applyFill="1" applyBorder="1"/>
    <xf numFmtId="9" fontId="4" fillId="0" borderId="12" xfId="2" applyBorder="1"/>
    <xf numFmtId="170" fontId="4" fillId="0" borderId="12" xfId="55" applyNumberFormat="1" applyFill="1" applyBorder="1"/>
    <xf numFmtId="0" fontId="0" fillId="0" borderId="0" xfId="0"/>
    <xf numFmtId="0" fontId="0" fillId="0" borderId="0" xfId="0" applyFill="1"/>
    <xf numFmtId="0" fontId="23" fillId="0" borderId="12" xfId="55" applyFont="1" applyFill="1" applyBorder="1" applyAlignment="1">
      <alignment horizontal="center"/>
    </xf>
    <xf numFmtId="0" fontId="23" fillId="0" borderId="12" xfId="55" applyFont="1" applyBorder="1" applyAlignment="1">
      <alignment horizontal="center"/>
    </xf>
    <xf numFmtId="4" fontId="23" fillId="0" borderId="12" xfId="55" applyNumberFormat="1" applyFont="1" applyBorder="1" applyAlignment="1">
      <alignment horizontal="center"/>
    </xf>
    <xf numFmtId="169" fontId="29" fillId="0" borderId="0" xfId="133" applyNumberFormat="1" applyFont="1" applyFill="1" applyBorder="1"/>
    <xf numFmtId="10" fontId="29" fillId="0" borderId="0" xfId="0" applyNumberFormat="1" applyFont="1" applyFill="1" applyBorder="1"/>
    <xf numFmtId="3" fontId="29" fillId="0" borderId="0" xfId="0" applyNumberFormat="1" applyFont="1" applyFill="1" applyBorder="1"/>
    <xf numFmtId="3" fontId="28" fillId="0" borderId="0" xfId="0" applyNumberFormat="1" applyFont="1" applyBorder="1"/>
    <xf numFmtId="0" fontId="40" fillId="27" borderId="15" xfId="0" applyFont="1" applyFill="1" applyBorder="1" applyAlignment="1">
      <alignment horizontal="center"/>
    </xf>
    <xf numFmtId="0" fontId="0" fillId="0" borderId="0" xfId="0" applyFill="1" applyBorder="1" applyAlignment="1">
      <alignment horizontal="center"/>
    </xf>
    <xf numFmtId="0" fontId="41" fillId="0" borderId="0" xfId="0" applyFont="1" applyBorder="1" applyAlignment="1">
      <alignment vertical="top" wrapText="1"/>
    </xf>
    <xf numFmtId="169" fontId="2" fillId="0" borderId="0" xfId="133" applyNumberFormat="1" applyFont="1" applyFill="1" applyBorder="1"/>
    <xf numFmtId="3" fontId="5" fillId="0" borderId="0" xfId="0" applyNumberFormat="1" applyFont="1" applyFill="1" applyBorder="1" applyAlignment="1">
      <alignment vertical="top" wrapText="1"/>
    </xf>
    <xf numFmtId="0" fontId="5" fillId="0" borderId="0" xfId="0" applyFont="1" applyFill="1" applyBorder="1" applyAlignment="1">
      <alignment vertical="top" wrapText="1"/>
    </xf>
    <xf numFmtId="0" fontId="5" fillId="0" borderId="0" xfId="0" applyFont="1" applyFill="1" applyBorder="1" applyAlignment="1">
      <alignment horizontal="center" vertical="top" wrapText="1"/>
    </xf>
    <xf numFmtId="0" fontId="0" fillId="0" borderId="0" xfId="0" applyFill="1" applyBorder="1" applyAlignment="1">
      <alignment horizontal="center"/>
    </xf>
    <xf numFmtId="0" fontId="5" fillId="0" borderId="0" xfId="0" applyFont="1" applyFill="1" applyBorder="1" applyAlignment="1">
      <alignment horizontal="center" vertical="top" wrapText="1"/>
    </xf>
    <xf numFmtId="42" fontId="30" fillId="0" borderId="0" xfId="0" applyNumberFormat="1" applyFont="1"/>
    <xf numFmtId="1" fontId="30" fillId="0" borderId="0" xfId="0" applyNumberFormat="1" applyFont="1" applyAlignment="1">
      <alignment horizontal="center"/>
    </xf>
    <xf numFmtId="42" fontId="30" fillId="0" borderId="0" xfId="0" applyNumberFormat="1" applyFont="1" applyFill="1"/>
    <xf numFmtId="167" fontId="30" fillId="0" borderId="0" xfId="0" applyNumberFormat="1" applyFont="1" applyFill="1"/>
    <xf numFmtId="0" fontId="42" fillId="0" borderId="0" xfId="0" applyFont="1"/>
    <xf numFmtId="0" fontId="5" fillId="0" borderId="0" xfId="0" applyFont="1" applyFill="1" applyBorder="1" applyAlignment="1">
      <alignment horizontal="right" vertical="top" wrapText="1"/>
    </xf>
    <xf numFmtId="0" fontId="27" fillId="0" borderId="17" xfId="0" applyFont="1" applyBorder="1" applyAlignment="1">
      <alignment vertical="top" wrapText="1"/>
    </xf>
    <xf numFmtId="3" fontId="0" fillId="0" borderId="17" xfId="0" applyNumberFormat="1" applyFill="1" applyBorder="1"/>
    <xf numFmtId="0" fontId="40" fillId="27" borderId="12" xfId="0" applyFont="1" applyFill="1" applyBorder="1" applyAlignment="1">
      <alignment horizontal="right"/>
    </xf>
    <xf numFmtId="0" fontId="40" fillId="27" borderId="10" xfId="0" applyFont="1" applyFill="1" applyBorder="1" applyAlignment="1">
      <alignment horizontal="right"/>
    </xf>
    <xf numFmtId="0" fontId="40" fillId="27" borderId="10" xfId="0" applyFont="1" applyFill="1" applyBorder="1" applyAlignment="1">
      <alignment horizontal="right" wrapText="1"/>
    </xf>
    <xf numFmtId="42" fontId="0" fillId="0" borderId="17" xfId="133" applyNumberFormat="1" applyFont="1" applyFill="1" applyBorder="1"/>
    <xf numFmtId="173" fontId="0" fillId="0" borderId="0" xfId="133" applyNumberFormat="1" applyFont="1" applyFill="1" applyBorder="1"/>
    <xf numFmtId="0" fontId="3" fillId="0" borderId="0" xfId="0" applyFont="1" applyFill="1" applyBorder="1"/>
    <xf numFmtId="0" fontId="32" fillId="0" borderId="0" xfId="0" applyFont="1" applyFill="1"/>
    <xf numFmtId="165" fontId="0" fillId="0" borderId="0" xfId="133" applyNumberFormat="1" applyFont="1" applyFill="1"/>
    <xf numFmtId="0" fontId="0" fillId="0" borderId="17" xfId="0" applyBorder="1"/>
    <xf numFmtId="0" fontId="0" fillId="0" borderId="0" xfId="0" applyFill="1"/>
    <xf numFmtId="165" fontId="0" fillId="0" borderId="0" xfId="0" applyNumberFormat="1"/>
    <xf numFmtId="165" fontId="0" fillId="0" borderId="17" xfId="0" applyNumberFormat="1" applyBorder="1"/>
    <xf numFmtId="0" fontId="0" fillId="0" borderId="0" xfId="0" applyFont="1" applyFill="1" applyBorder="1"/>
    <xf numFmtId="165" fontId="0" fillId="0" borderId="0" xfId="0" applyNumberFormat="1" applyFill="1"/>
    <xf numFmtId="0" fontId="0" fillId="0" borderId="0" xfId="0"/>
    <xf numFmtId="0" fontId="0" fillId="0" borderId="0" xfId="0" applyFill="1"/>
    <xf numFmtId="0" fontId="43" fillId="0" borderId="0" xfId="0" applyFont="1"/>
    <xf numFmtId="0" fontId="0" fillId="0" borderId="0" xfId="0"/>
    <xf numFmtId="0" fontId="3" fillId="0" borderId="0" xfId="0" applyFont="1"/>
    <xf numFmtId="42" fontId="0" fillId="0" borderId="0" xfId="0" applyNumberFormat="1" applyFill="1"/>
    <xf numFmtId="0" fontId="0" fillId="0" borderId="0" xfId="0"/>
    <xf numFmtId="0" fontId="0" fillId="0" borderId="0" xfId="0"/>
    <xf numFmtId="0" fontId="0" fillId="0" borderId="0" xfId="0"/>
    <xf numFmtId="0" fontId="3" fillId="0" borderId="0" xfId="0" applyFont="1"/>
    <xf numFmtId="0" fontId="0" fillId="0" borderId="0" xfId="0"/>
    <xf numFmtId="42" fontId="0" fillId="0" borderId="0" xfId="0" applyNumberFormat="1"/>
    <xf numFmtId="0" fontId="0" fillId="0" borderId="0" xfId="0"/>
    <xf numFmtId="42" fontId="0" fillId="0" borderId="0" xfId="0" applyNumberFormat="1"/>
    <xf numFmtId="0" fontId="3" fillId="0" borderId="0" xfId="0" applyFont="1"/>
    <xf numFmtId="0" fontId="0" fillId="0" borderId="0" xfId="0"/>
    <xf numFmtId="42" fontId="0" fillId="0" borderId="0" xfId="0" applyNumberFormat="1" applyFill="1"/>
    <xf numFmtId="42" fontId="0" fillId="0" borderId="0" xfId="0" applyNumberFormat="1"/>
    <xf numFmtId="0" fontId="3" fillId="0" borderId="0" xfId="0" applyFont="1"/>
    <xf numFmtId="167" fontId="0" fillId="0" borderId="0" xfId="0" applyNumberFormat="1"/>
    <xf numFmtId="0" fontId="0" fillId="0" borderId="0" xfId="0"/>
    <xf numFmtId="0" fontId="0" fillId="0" borderId="0" xfId="0" applyFont="1"/>
    <xf numFmtId="0" fontId="0" fillId="0" borderId="0" xfId="0"/>
    <xf numFmtId="0" fontId="0" fillId="0" borderId="0" xfId="0"/>
    <xf numFmtId="9" fontId="29" fillId="0" borderId="0" xfId="0" applyNumberFormat="1" applyFont="1"/>
    <xf numFmtId="165" fontId="29" fillId="0" borderId="0" xfId="0" applyNumberFormat="1" applyFont="1" applyFill="1"/>
    <xf numFmtId="0" fontId="29" fillId="0" borderId="17" xfId="0" applyFont="1" applyBorder="1"/>
    <xf numFmtId="168" fontId="29" fillId="0" borderId="0" xfId="0" applyNumberFormat="1" applyFont="1"/>
    <xf numFmtId="165" fontId="28" fillId="0" borderId="0" xfId="0" applyNumberFormat="1" applyFont="1" applyFill="1" applyBorder="1"/>
    <xf numFmtId="170" fontId="28" fillId="0" borderId="0" xfId="0" applyNumberFormat="1" applyFont="1" applyFill="1" applyBorder="1" applyAlignment="1">
      <alignment horizontal="right"/>
    </xf>
    <xf numFmtId="165" fontId="29" fillId="0" borderId="17" xfId="0" applyNumberFormat="1" applyFont="1" applyBorder="1"/>
    <xf numFmtId="0" fontId="24" fillId="0" borderId="0" xfId="0" applyFont="1" applyFill="1" applyBorder="1" applyAlignment="1">
      <alignment horizontal="right"/>
    </xf>
    <xf numFmtId="1" fontId="29" fillId="0" borderId="0" xfId="0" applyNumberFormat="1" applyFont="1" applyBorder="1"/>
    <xf numFmtId="3" fontId="4" fillId="0" borderId="0" xfId="0" applyNumberFormat="1" applyFont="1" applyFill="1" applyBorder="1" applyAlignment="1">
      <alignment horizontal="right"/>
    </xf>
    <xf numFmtId="0" fontId="29" fillId="0" borderId="0" xfId="0" applyFont="1" applyAlignment="1">
      <alignment horizontal="right"/>
    </xf>
    <xf numFmtId="167" fontId="28" fillId="0" borderId="0" xfId="0" applyNumberFormat="1" applyFont="1" applyFill="1" applyBorder="1" applyAlignment="1">
      <alignment horizontal="right"/>
    </xf>
    <xf numFmtId="0" fontId="28" fillId="0" borderId="0" xfId="0" applyFont="1" applyFill="1" applyBorder="1" applyAlignment="1">
      <alignment horizontal="right"/>
    </xf>
    <xf numFmtId="0" fontId="22" fillId="0" borderId="0" xfId="0" applyFont="1"/>
    <xf numFmtId="3" fontId="40" fillId="0" borderId="0" xfId="0" applyNumberFormat="1" applyFont="1" applyFill="1" applyBorder="1"/>
    <xf numFmtId="0" fontId="29" fillId="0" borderId="0" xfId="0" applyFont="1" applyAlignment="1">
      <alignment horizontal="left"/>
    </xf>
    <xf numFmtId="0" fontId="40" fillId="0" borderId="0" xfId="0" applyFont="1" applyFill="1" applyBorder="1"/>
    <xf numFmtId="1" fontId="29" fillId="0" borderId="0" xfId="0" applyNumberFormat="1" applyFont="1"/>
    <xf numFmtId="166" fontId="4" fillId="0" borderId="0" xfId="3" applyNumberFormat="1" applyFill="1" applyBorder="1"/>
    <xf numFmtId="0" fontId="0" fillId="0" borderId="0" xfId="0" applyFill="1" applyBorder="1" applyAlignment="1"/>
    <xf numFmtId="165" fontId="29" fillId="0" borderId="0" xfId="0" applyNumberFormat="1" applyFont="1" applyBorder="1"/>
    <xf numFmtId="166" fontId="4" fillId="0" borderId="0" xfId="3" applyNumberFormat="1" applyFont="1" applyFill="1" applyBorder="1"/>
    <xf numFmtId="0" fontId="29" fillId="0" borderId="0" xfId="0" applyFont="1" applyBorder="1"/>
    <xf numFmtId="0" fontId="29" fillId="0" borderId="0" xfId="0" applyFont="1" applyFill="1"/>
    <xf numFmtId="168" fontId="29" fillId="0" borderId="0" xfId="0" applyNumberFormat="1" applyFont="1" applyAlignment="1">
      <alignment horizontal="right"/>
    </xf>
    <xf numFmtId="165" fontId="29" fillId="0" borderId="0" xfId="0" applyNumberFormat="1" applyFont="1"/>
    <xf numFmtId="42" fontId="3" fillId="0" borderId="0" xfId="0" applyNumberFormat="1" applyFont="1" applyFill="1"/>
    <xf numFmtId="169" fontId="0" fillId="0" borderId="0" xfId="0" applyNumberFormat="1"/>
    <xf numFmtId="42" fontId="0" fillId="0" borderId="0" xfId="0" applyNumberFormat="1" applyFont="1" applyFill="1"/>
    <xf numFmtId="42" fontId="22" fillId="0" borderId="0" xfId="0" applyNumberFormat="1" applyFont="1" applyFill="1"/>
    <xf numFmtId="42" fontId="3" fillId="0" borderId="0" xfId="0" applyNumberFormat="1" applyFont="1"/>
    <xf numFmtId="3" fontId="29" fillId="0" borderId="0" xfId="0" applyNumberFormat="1" applyFont="1"/>
    <xf numFmtId="169" fontId="3" fillId="0" borderId="0" xfId="0" applyNumberFormat="1" applyFont="1" applyFill="1"/>
    <xf numFmtId="0" fontId="4" fillId="25" borderId="11" xfId="3" applyFill="1" applyBorder="1"/>
    <xf numFmtId="0" fontId="4" fillId="0" borderId="0" xfId="3" applyBorder="1"/>
    <xf numFmtId="0" fontId="4" fillId="0" borderId="0" xfId="3"/>
    <xf numFmtId="0" fontId="4" fillId="0" borderId="0" xfId="3" applyBorder="1" applyAlignment="1">
      <alignment horizontal="left"/>
    </xf>
    <xf numFmtId="0" fontId="4" fillId="0" borderId="0" xfId="3" applyFill="1" applyBorder="1" applyAlignment="1">
      <alignment horizontal="left"/>
    </xf>
    <xf numFmtId="0" fontId="4" fillId="24" borderId="0" xfId="3" applyFill="1" applyBorder="1" applyAlignment="1">
      <alignment horizontal="right"/>
    </xf>
    <xf numFmtId="0" fontId="35" fillId="0" borderId="0" xfId="3" applyFont="1" applyBorder="1"/>
    <xf numFmtId="0" fontId="4" fillId="26" borderId="12" xfId="3" applyFill="1" applyBorder="1"/>
    <xf numFmtId="0" fontId="4" fillId="0" borderId="0" xfId="3" applyFill="1" applyBorder="1"/>
    <xf numFmtId="3" fontId="4" fillId="0" borderId="0" xfId="3" applyNumberFormat="1" applyBorder="1"/>
    <xf numFmtId="165" fontId="3" fillId="0" borderId="17" xfId="0" applyNumberFormat="1" applyFont="1" applyBorder="1"/>
    <xf numFmtId="0" fontId="37" fillId="0" borderId="0" xfId="3" applyFont="1" applyBorder="1"/>
    <xf numFmtId="0" fontId="38" fillId="0" borderId="0" xfId="3" applyFont="1" applyBorder="1"/>
    <xf numFmtId="0" fontId="36" fillId="0" borderId="0" xfId="3" applyFont="1" applyBorder="1"/>
    <xf numFmtId="0" fontId="4" fillId="0" borderId="11" xfId="3" applyFill="1" applyBorder="1"/>
    <xf numFmtId="0" fontId="4" fillId="0" borderId="11" xfId="3" applyBorder="1"/>
    <xf numFmtId="0" fontId="37" fillId="0" borderId="0" xfId="3" applyFont="1" applyFill="1" applyBorder="1"/>
    <xf numFmtId="167" fontId="4" fillId="26" borderId="12" xfId="3" applyNumberFormat="1" applyFont="1" applyFill="1" applyBorder="1"/>
    <xf numFmtId="0" fontId="0" fillId="0" borderId="0" xfId="0" applyFill="1" applyBorder="1" applyAlignment="1">
      <alignment horizontal="right"/>
    </xf>
    <xf numFmtId="169" fontId="0" fillId="0" borderId="0" xfId="133" applyNumberFormat="1" applyFont="1" applyFill="1" applyBorder="1"/>
    <xf numFmtId="0" fontId="40" fillId="0" borderId="0" xfId="0" applyFont="1" applyFill="1" applyBorder="1" applyAlignment="1">
      <alignment horizontal="center"/>
    </xf>
    <xf numFmtId="3" fontId="5" fillId="0" borderId="0" xfId="0" applyNumberFormat="1" applyFont="1" applyFill="1" applyBorder="1" applyAlignment="1">
      <alignment vertical="top" wrapText="1"/>
    </xf>
    <xf numFmtId="0" fontId="0" fillId="0" borderId="0" xfId="0"/>
    <xf numFmtId="0" fontId="24" fillId="0" borderId="0" xfId="0" applyFont="1" applyFill="1" applyBorder="1"/>
    <xf numFmtId="0" fontId="4" fillId="0" borderId="0" xfId="0" applyFont="1" applyFill="1" applyBorder="1" applyAlignment="1">
      <alignment horizontal="right"/>
    </xf>
    <xf numFmtId="0" fontId="45" fillId="0" borderId="0" xfId="0" applyFont="1" applyBorder="1"/>
    <xf numFmtId="168" fontId="29" fillId="0" borderId="0" xfId="0" applyNumberFormat="1" applyFont="1" applyBorder="1"/>
    <xf numFmtId="0" fontId="29" fillId="0" borderId="0" xfId="0" applyFont="1"/>
    <xf numFmtId="0" fontId="29" fillId="0" borderId="0" xfId="0" applyFont="1"/>
    <xf numFmtId="9" fontId="28" fillId="0" borderId="0" xfId="0" applyNumberFormat="1" applyFont="1" applyFill="1" applyBorder="1"/>
    <xf numFmtId="166" fontId="4" fillId="0" borderId="0" xfId="3" applyNumberFormat="1" applyFont="1" applyFill="1" applyBorder="1" applyAlignment="1">
      <alignment horizontal="right"/>
    </xf>
    <xf numFmtId="9" fontId="4" fillId="0" borderId="0" xfId="3" applyNumberFormat="1" applyFill="1" applyBorder="1"/>
    <xf numFmtId="3" fontId="40" fillId="0" borderId="0" xfId="0" applyNumberFormat="1" applyFont="1" applyFill="1" applyBorder="1" applyAlignment="1">
      <alignment horizontal="right"/>
    </xf>
    <xf numFmtId="10" fontId="4" fillId="0" borderId="0" xfId="3" applyNumberFormat="1" applyFill="1" applyBorder="1"/>
    <xf numFmtId="0" fontId="0" fillId="0" borderId="0" xfId="0"/>
    <xf numFmtId="42" fontId="0" fillId="0" borderId="0" xfId="0" applyNumberFormat="1" applyFill="1"/>
    <xf numFmtId="42" fontId="0" fillId="0" borderId="0" xfId="0" applyNumberFormat="1"/>
    <xf numFmtId="0" fontId="29" fillId="0" borderId="0" xfId="0" applyFont="1"/>
    <xf numFmtId="0" fontId="0" fillId="0" borderId="0" xfId="0" applyFill="1"/>
    <xf numFmtId="0" fontId="3" fillId="0" borderId="0" xfId="0" applyFont="1"/>
    <xf numFmtId="9" fontId="0" fillId="0" borderId="0" xfId="0" applyNumberFormat="1"/>
    <xf numFmtId="0" fontId="0" fillId="0" borderId="0" xfId="0" applyBorder="1"/>
    <xf numFmtId="0" fontId="0" fillId="0" borderId="0" xfId="0" applyFont="1" applyBorder="1"/>
    <xf numFmtId="0" fontId="0" fillId="0" borderId="0" xfId="0" applyFont="1" applyFill="1" applyBorder="1"/>
    <xf numFmtId="0" fontId="0" fillId="0" borderId="0" xfId="0" applyFont="1" applyBorder="1" applyAlignment="1">
      <alignment horizontal="left"/>
    </xf>
    <xf numFmtId="0" fontId="27" fillId="0" borderId="0" xfId="0" applyFont="1" applyBorder="1" applyAlignment="1">
      <alignment vertical="top" wrapText="1"/>
    </xf>
    <xf numFmtId="0" fontId="27" fillId="0" borderId="0" xfId="0" applyFont="1" applyBorder="1" applyAlignment="1">
      <alignment vertical="top"/>
    </xf>
    <xf numFmtId="1" fontId="40" fillId="0" borderId="0" xfId="0" applyNumberFormat="1" applyFont="1" applyFill="1" applyBorder="1"/>
    <xf numFmtId="167" fontId="28" fillId="0" borderId="0" xfId="0" applyNumberFormat="1" applyFont="1" applyFill="1" applyBorder="1"/>
    <xf numFmtId="170" fontId="28" fillId="0" borderId="0" xfId="0" applyNumberFormat="1" applyFont="1" applyFill="1" applyBorder="1"/>
    <xf numFmtId="0" fontId="3" fillId="0" borderId="0" xfId="0" applyFont="1" applyFill="1" applyBorder="1" applyAlignment="1">
      <alignment horizontal="right" wrapText="1"/>
    </xf>
    <xf numFmtId="0" fontId="0" fillId="0" borderId="0" xfId="0"/>
    <xf numFmtId="0" fontId="0" fillId="0" borderId="0" xfId="0" applyAlignment="1">
      <alignment horizontal="left"/>
    </xf>
    <xf numFmtId="0" fontId="3" fillId="0" borderId="0" xfId="0" applyFont="1"/>
    <xf numFmtId="0" fontId="0" fillId="0" borderId="0" xfId="0" applyFill="1" applyBorder="1"/>
    <xf numFmtId="0" fontId="0" fillId="0" borderId="0" xfId="0"/>
    <xf numFmtId="166" fontId="0" fillId="0" borderId="0" xfId="0" applyNumberFormat="1"/>
    <xf numFmtId="168" fontId="0" fillId="0" borderId="0" xfId="0" applyNumberFormat="1"/>
    <xf numFmtId="0" fontId="0" fillId="0" borderId="0" xfId="0" applyAlignment="1">
      <alignment horizontal="right"/>
    </xf>
    <xf numFmtId="165" fontId="0" fillId="0" borderId="0" xfId="0" applyNumberFormat="1" applyFill="1"/>
    <xf numFmtId="0" fontId="0" fillId="0" borderId="0" xfId="0"/>
    <xf numFmtId="42" fontId="0" fillId="0" borderId="0" xfId="0" applyNumberFormat="1"/>
    <xf numFmtId="0" fontId="4" fillId="0" borderId="0" xfId="3" applyBorder="1"/>
    <xf numFmtId="0" fontId="4" fillId="0" borderId="0" xfId="3"/>
    <xf numFmtId="166" fontId="4" fillId="0" borderId="0" xfId="3" applyNumberFormat="1" applyFill="1" applyBorder="1"/>
    <xf numFmtId="0" fontId="4" fillId="26" borderId="12" xfId="3" applyFill="1" applyBorder="1"/>
    <xf numFmtId="172" fontId="4" fillId="0" borderId="0" xfId="3" applyNumberFormat="1" applyFill="1" applyBorder="1"/>
    <xf numFmtId="0" fontId="40" fillId="0" borderId="0" xfId="0" applyFont="1" applyFill="1" applyBorder="1" applyAlignment="1">
      <alignment horizontal="right"/>
    </xf>
    <xf numFmtId="0" fontId="4" fillId="0" borderId="0" xfId="3" applyFill="1" applyBorder="1"/>
    <xf numFmtId="0" fontId="0" fillId="0" borderId="0" xfId="0" applyFill="1" applyBorder="1"/>
    <xf numFmtId="0" fontId="28" fillId="0" borderId="0" xfId="0" applyFont="1" applyFill="1" applyBorder="1"/>
    <xf numFmtId="168" fontId="0" fillId="0" borderId="0" xfId="0" applyNumberFormat="1" applyFill="1" applyBorder="1"/>
    <xf numFmtId="0" fontId="0" fillId="0" borderId="0" xfId="0"/>
    <xf numFmtId="0" fontId="3" fillId="0" borderId="0" xfId="0" applyFont="1"/>
    <xf numFmtId="169" fontId="0" fillId="0" borderId="0" xfId="0" applyNumberFormat="1"/>
    <xf numFmtId="169" fontId="0" fillId="0" borderId="0" xfId="133" applyNumberFormat="1" applyFont="1"/>
    <xf numFmtId="0" fontId="0" fillId="0" borderId="0" xfId="0" applyFont="1" applyFill="1" applyBorder="1"/>
    <xf numFmtId="0" fontId="0" fillId="0" borderId="0" xfId="0" applyFill="1"/>
    <xf numFmtId="165" fontId="0" fillId="0" borderId="0" xfId="0" applyNumberFormat="1"/>
    <xf numFmtId="0" fontId="0" fillId="0" borderId="0" xfId="0"/>
    <xf numFmtId="0" fontId="0" fillId="0" borderId="0" xfId="0" applyFont="1"/>
    <xf numFmtId="0" fontId="0" fillId="0" borderId="0" xfId="0" applyFill="1"/>
    <xf numFmtId="0" fontId="0" fillId="0" borderId="0" xfId="0" applyFont="1" applyBorder="1"/>
    <xf numFmtId="0" fontId="28" fillId="0" borderId="0" xfId="0" applyFont="1" applyBorder="1"/>
    <xf numFmtId="0" fontId="0" fillId="0" borderId="0" xfId="0" applyAlignment="1">
      <alignment horizontal="right"/>
    </xf>
    <xf numFmtId="42" fontId="0" fillId="0" borderId="0" xfId="0" applyNumberFormat="1"/>
    <xf numFmtId="0" fontId="29" fillId="0" borderId="0" xfId="0" applyFont="1"/>
    <xf numFmtId="0" fontId="0" fillId="0" borderId="0" xfId="0" applyFill="1" applyAlignment="1">
      <alignment horizontal="left"/>
    </xf>
    <xf numFmtId="172" fontId="2" fillId="26" borderId="18" xfId="0" applyNumberFormat="1" applyFont="1" applyFill="1" applyBorder="1"/>
    <xf numFmtId="176" fontId="4" fillId="0" borderId="0" xfId="3" applyNumberFormat="1"/>
    <xf numFmtId="167" fontId="4" fillId="0" borderId="13" xfId="3" applyNumberFormat="1" applyBorder="1"/>
    <xf numFmtId="2" fontId="29" fillId="26" borderId="18" xfId="3" applyNumberFormat="1" applyFont="1" applyFill="1" applyBorder="1"/>
    <xf numFmtId="2" fontId="0" fillId="0" borderId="0" xfId="0" applyNumberFormat="1" applyFill="1" applyBorder="1" applyAlignment="1" applyProtection="1"/>
    <xf numFmtId="0" fontId="4" fillId="26" borderId="15" xfId="3" applyFill="1" applyBorder="1" applyAlignment="1">
      <alignment horizontal="left"/>
    </xf>
    <xf numFmtId="0" fontId="0" fillId="0" borderId="0" xfId="0" quotePrefix="1" applyNumberFormat="1" applyFill="1" applyBorder="1" applyAlignment="1" applyProtection="1">
      <alignment horizontal="center"/>
    </xf>
    <xf numFmtId="0" fontId="45" fillId="0" borderId="0" xfId="0" applyFont="1" applyFill="1" applyBorder="1" applyAlignment="1">
      <alignment horizontal="center"/>
    </xf>
    <xf numFmtId="41" fontId="28" fillId="0" borderId="0" xfId="0" applyNumberFormat="1" applyFont="1" applyBorder="1"/>
    <xf numFmtId="3" fontId="29" fillId="0" borderId="12" xfId="3" applyNumberFormat="1" applyFont="1" applyBorder="1"/>
    <xf numFmtId="0" fontId="0" fillId="0" borderId="0" xfId="0" applyNumberFormat="1" applyFill="1" applyBorder="1" applyAlignment="1" applyProtection="1">
      <alignment horizontal="center"/>
    </xf>
    <xf numFmtId="0" fontId="4" fillId="26" borderId="19" xfId="3" applyFill="1" applyBorder="1" applyAlignment="1">
      <alignment horizontal="left"/>
    </xf>
    <xf numFmtId="0" fontId="26" fillId="0" borderId="0" xfId="0" applyNumberFormat="1" applyFont="1" applyFill="1" applyBorder="1" applyAlignment="1" applyProtection="1"/>
    <xf numFmtId="0" fontId="4" fillId="26" borderId="17" xfId="3" applyFill="1" applyBorder="1"/>
    <xf numFmtId="42" fontId="3" fillId="0" borderId="17" xfId="0" applyNumberFormat="1" applyFont="1" applyFill="1" applyBorder="1"/>
    <xf numFmtId="0" fontId="4" fillId="26" borderId="20" xfId="3" applyFill="1" applyBorder="1" applyAlignment="1">
      <alignment horizontal="left"/>
    </xf>
    <xf numFmtId="0" fontId="26" fillId="0" borderId="0" xfId="0" applyNumberFormat="1" applyFont="1" applyFill="1" applyBorder="1" applyAlignment="1" applyProtection="1">
      <alignment horizontal="left"/>
    </xf>
    <xf numFmtId="0" fontId="4" fillId="26" borderId="14" xfId="3" applyFill="1" applyBorder="1" applyAlignment="1">
      <alignment horizontal="left"/>
    </xf>
    <xf numFmtId="3" fontId="23" fillId="0" borderId="0" xfId="0" applyNumberFormat="1" applyFont="1" applyFill="1" applyBorder="1" applyAlignment="1" applyProtection="1">
      <alignment horizontal="right"/>
    </xf>
    <xf numFmtId="170" fontId="4" fillId="0" borderId="12" xfId="3" applyNumberFormat="1" applyFont="1" applyFill="1" applyBorder="1"/>
    <xf numFmtId="3" fontId="23" fillId="0" borderId="0" xfId="133" applyNumberFormat="1" applyFont="1" applyFill="1" applyBorder="1" applyAlignment="1" applyProtection="1">
      <alignment horizontal="right"/>
    </xf>
    <xf numFmtId="49" fontId="0" fillId="0" borderId="0" xfId="0" applyNumberFormat="1"/>
    <xf numFmtId="0" fontId="46" fillId="0" borderId="0" xfId="0" applyFont="1" applyFill="1" applyBorder="1"/>
    <xf numFmtId="3" fontId="44" fillId="0" borderId="0" xfId="0" applyNumberFormat="1" applyFont="1" applyFill="1" applyBorder="1" applyAlignment="1">
      <alignment horizontal="center"/>
    </xf>
    <xf numFmtId="0" fontId="45" fillId="0" borderId="0" xfId="0" applyFont="1" applyFill="1" applyBorder="1"/>
    <xf numFmtId="168" fontId="29" fillId="0" borderId="0" xfId="0" applyNumberFormat="1" applyFont="1" applyFill="1" applyBorder="1"/>
    <xf numFmtId="0" fontId="29" fillId="0" borderId="0" xfId="0" applyFont="1" applyFill="1" applyBorder="1"/>
    <xf numFmtId="41" fontId="0" fillId="0" borderId="0" xfId="0" applyNumberFormat="1" applyBorder="1"/>
    <xf numFmtId="44" fontId="0" fillId="0" borderId="0" xfId="0" applyNumberFormat="1" applyBorder="1"/>
    <xf numFmtId="0" fontId="4" fillId="26" borderId="18" xfId="3" applyFill="1" applyBorder="1" applyAlignment="1">
      <alignment horizontal="left"/>
    </xf>
    <xf numFmtId="0" fontId="22" fillId="0" borderId="0" xfId="0" applyFont="1" applyFill="1"/>
    <xf numFmtId="0" fontId="0" fillId="0" borderId="0" xfId="0"/>
    <xf numFmtId="0" fontId="0" fillId="0" borderId="0" xfId="0" applyBorder="1"/>
    <xf numFmtId="0" fontId="3" fillId="0" borderId="0" xfId="0" applyFont="1"/>
    <xf numFmtId="1" fontId="0" fillId="0" borderId="0" xfId="0" applyNumberFormat="1" applyAlignment="1">
      <alignment horizontal="center"/>
    </xf>
    <xf numFmtId="0" fontId="4" fillId="0" borderId="0" xfId="3"/>
    <xf numFmtId="0" fontId="4" fillId="0" borderId="0" xfId="3" applyBorder="1"/>
    <xf numFmtId="0" fontId="4" fillId="0" borderId="11" xfId="3" applyBorder="1"/>
    <xf numFmtId="0" fontId="4" fillId="0" borderId="11" xfId="3" applyFill="1" applyBorder="1"/>
    <xf numFmtId="0" fontId="38" fillId="0" borderId="0" xfId="3" applyFont="1" applyBorder="1"/>
    <xf numFmtId="0" fontId="36" fillId="0" borderId="0" xfId="3" applyFont="1" applyBorder="1"/>
    <xf numFmtId="0" fontId="4" fillId="0" borderId="0" xfId="3" applyFill="1" applyBorder="1" applyAlignment="1">
      <alignment horizontal="left"/>
    </xf>
    <xf numFmtId="0" fontId="4" fillId="0" borderId="0" xfId="3" applyBorder="1" applyAlignment="1">
      <alignment horizontal="left"/>
    </xf>
    <xf numFmtId="165" fontId="0" fillId="0" borderId="0" xfId="0" applyNumberFormat="1" applyFill="1" applyBorder="1"/>
    <xf numFmtId="165" fontId="0" fillId="0" borderId="0" xfId="0" applyNumberFormat="1" applyBorder="1"/>
    <xf numFmtId="0" fontId="0" fillId="0" borderId="0" xfId="0" applyFill="1"/>
    <xf numFmtId="3" fontId="0" fillId="0" borderId="0" xfId="0" applyNumberFormat="1"/>
    <xf numFmtId="165" fontId="0" fillId="0" borderId="0" xfId="0" applyNumberFormat="1"/>
    <xf numFmtId="172" fontId="29" fillId="26" borderId="18" xfId="3" applyNumberFormat="1" applyFont="1" applyFill="1" applyBorder="1"/>
    <xf numFmtId="0" fontId="4" fillId="26" borderId="20" xfId="3" applyFill="1" applyBorder="1"/>
    <xf numFmtId="0" fontId="4" fillId="26" borderId="17" xfId="3" applyFill="1" applyBorder="1" applyAlignment="1">
      <alignment horizontal="left"/>
    </xf>
    <xf numFmtId="3" fontId="0" fillId="0" borderId="0" xfId="0" applyNumberFormat="1" applyFill="1" applyBorder="1" applyAlignment="1" applyProtection="1">
      <protection locked="0"/>
    </xf>
    <xf numFmtId="3" fontId="4" fillId="0" borderId="0" xfId="133" applyNumberFormat="1" applyFont="1" applyFill="1" applyBorder="1" applyAlignment="1" applyProtection="1">
      <alignment horizontal="right"/>
    </xf>
    <xf numFmtId="0" fontId="4" fillId="0" borderId="0" xfId="0" applyNumberFormat="1" applyFont="1" applyFill="1" applyBorder="1" applyAlignment="1" applyProtection="1">
      <alignment horizontal="center"/>
      <protection locked="0"/>
    </xf>
    <xf numFmtId="0" fontId="4" fillId="0" borderId="0" xfId="3"/>
    <xf numFmtId="0" fontId="4" fillId="0" borderId="0" xfId="3" applyBorder="1"/>
    <xf numFmtId="0" fontId="4" fillId="0" borderId="0" xfId="3" applyFill="1" applyBorder="1"/>
    <xf numFmtId="0" fontId="37" fillId="0" borderId="0" xfId="3" applyFont="1" applyBorder="1"/>
    <xf numFmtId="0" fontId="37" fillId="0" borderId="0" xfId="3" applyFont="1" applyFill="1" applyBorder="1"/>
    <xf numFmtId="0" fontId="4" fillId="25" borderId="11" xfId="3" applyFill="1" applyBorder="1"/>
    <xf numFmtId="10" fontId="4" fillId="0" borderId="0" xfId="3" applyNumberFormat="1" applyFill="1" applyBorder="1"/>
    <xf numFmtId="9" fontId="4" fillId="0" borderId="0" xfId="3" applyNumberFormat="1" applyFill="1" applyBorder="1"/>
    <xf numFmtId="166" fontId="4" fillId="0" borderId="0" xfId="3" applyNumberFormat="1" applyFill="1" applyBorder="1"/>
    <xf numFmtId="3" fontId="4" fillId="0" borderId="0" xfId="3" applyNumberFormat="1" applyBorder="1"/>
    <xf numFmtId="0" fontId="4" fillId="0" borderId="0" xfId="3"/>
    <xf numFmtId="0" fontId="4" fillId="0" borderId="0" xfId="3" applyBorder="1"/>
    <xf numFmtId="0" fontId="4" fillId="0" borderId="0" xfId="3" applyFill="1" applyBorder="1"/>
    <xf numFmtId="0" fontId="4" fillId="0" borderId="20" xfId="3" applyBorder="1"/>
    <xf numFmtId="0" fontId="4" fillId="0" borderId="19" xfId="3" applyBorder="1"/>
    <xf numFmtId="0" fontId="4" fillId="0" borderId="11" xfId="3" applyFill="1" applyBorder="1"/>
    <xf numFmtId="0" fontId="4" fillId="0" borderId="17" xfId="3" applyBorder="1"/>
    <xf numFmtId="0" fontId="4" fillId="0" borderId="18" xfId="3" applyBorder="1"/>
    <xf numFmtId="0" fontId="36" fillId="0" borderId="0" xfId="3" applyFont="1" applyBorder="1"/>
    <xf numFmtId="0" fontId="4" fillId="0" borderId="14" xfId="3" applyBorder="1"/>
    <xf numFmtId="0" fontId="4" fillId="0" borderId="15" xfId="3" applyBorder="1"/>
    <xf numFmtId="0" fontId="23" fillId="0" borderId="0" xfId="0" applyNumberFormat="1" applyFont="1" applyFill="1" applyBorder="1" applyAlignment="1" applyProtection="1"/>
    <xf numFmtId="44" fontId="0" fillId="0" borderId="0" xfId="133" applyFont="1" applyFill="1" applyBorder="1" applyProtection="1"/>
    <xf numFmtId="2" fontId="0" fillId="0" borderId="0" xfId="0" applyNumberFormat="1" applyFill="1" applyBorder="1" applyAlignment="1" applyProtection="1">
      <protection locked="0"/>
    </xf>
    <xf numFmtId="3" fontId="0" fillId="0" borderId="0" xfId="133" applyNumberFormat="1" applyFont="1" applyFill="1" applyBorder="1" applyAlignment="1" applyProtection="1">
      <alignment horizontal="right"/>
    </xf>
    <xf numFmtId="169" fontId="0" fillId="0" borderId="0" xfId="133" applyNumberFormat="1" applyFont="1" applyFill="1" applyBorder="1" applyProtection="1"/>
    <xf numFmtId="0" fontId="0" fillId="0" borderId="0" xfId="0" applyNumberFormat="1" applyFill="1" applyBorder="1" applyAlignment="1" applyProtection="1">
      <alignment horizontal="center"/>
      <protection locked="0"/>
    </xf>
    <xf numFmtId="0" fontId="0" fillId="0" borderId="0" xfId="0" applyNumberFormat="1" applyFill="1" applyBorder="1" applyAlignment="1" applyProtection="1"/>
    <xf numFmtId="16" fontId="0" fillId="0" borderId="0" xfId="0" applyNumberFormat="1" applyFill="1" applyBorder="1" applyAlignment="1" applyProtection="1">
      <alignment horizontal="center"/>
    </xf>
    <xf numFmtId="0" fontId="26" fillId="0" borderId="0" xfId="0" applyNumberFormat="1" applyFont="1" applyFill="1" applyBorder="1" applyAlignment="1" applyProtection="1">
      <alignment horizontal="right"/>
    </xf>
    <xf numFmtId="172" fontId="29" fillId="26" borderId="12" xfId="3" applyNumberFormat="1" applyFont="1" applyFill="1" applyBorder="1"/>
    <xf numFmtId="0" fontId="29" fillId="26" borderId="12" xfId="3" applyFont="1" applyFill="1" applyBorder="1"/>
    <xf numFmtId="10" fontId="29" fillId="26" borderId="12" xfId="3" applyNumberFormat="1" applyFont="1" applyFill="1" applyBorder="1"/>
    <xf numFmtId="172" fontId="2" fillId="26" borderId="12" xfId="0" applyNumberFormat="1" applyFont="1" applyFill="1" applyBorder="1"/>
    <xf numFmtId="3" fontId="29" fillId="0" borderId="18" xfId="3" applyNumberFormat="1" applyFont="1" applyBorder="1"/>
    <xf numFmtId="2" fontId="29" fillId="26" borderId="12" xfId="3" applyNumberFormat="1" applyFont="1" applyFill="1" applyBorder="1"/>
    <xf numFmtId="0" fontId="29" fillId="26" borderId="18" xfId="3" applyFont="1" applyFill="1" applyBorder="1"/>
    <xf numFmtId="1" fontId="0" fillId="0" borderId="0" xfId="0" applyNumberFormat="1"/>
    <xf numFmtId="0" fontId="0" fillId="0" borderId="0" xfId="0" applyFill="1" applyBorder="1"/>
    <xf numFmtId="0" fontId="3" fillId="0" borderId="0" xfId="0" applyFont="1" applyFill="1" applyBorder="1"/>
    <xf numFmtId="42" fontId="0" fillId="0" borderId="0" xfId="0" applyNumberFormat="1" applyFill="1" applyBorder="1"/>
    <xf numFmtId="44" fontId="0" fillId="0" borderId="0" xfId="0" applyNumberFormat="1" applyFill="1" applyBorder="1"/>
    <xf numFmtId="165" fontId="0" fillId="0" borderId="0" xfId="0" applyNumberFormat="1"/>
    <xf numFmtId="0" fontId="48" fillId="0" borderId="0" xfId="0" applyFont="1" applyAlignment="1">
      <alignment vertical="center"/>
    </xf>
    <xf numFmtId="169" fontId="29" fillId="0" borderId="0" xfId="133" applyNumberFormat="1" applyFont="1" applyAlignment="1">
      <alignment horizontal="right"/>
    </xf>
    <xf numFmtId="169" fontId="29" fillId="0" borderId="0" xfId="133" applyNumberFormat="1" applyFont="1"/>
    <xf numFmtId="169" fontId="29" fillId="0" borderId="0" xfId="133" applyNumberFormat="1" applyFont="1" applyFill="1"/>
    <xf numFmtId="0" fontId="47" fillId="0" borderId="0" xfId="0" applyFont="1" applyBorder="1"/>
    <xf numFmtId="0" fontId="29" fillId="0" borderId="0" xfId="0" applyFont="1" applyFill="1" applyAlignment="1">
      <alignment horizontal="left"/>
    </xf>
    <xf numFmtId="168" fontId="29" fillId="0" borderId="0" xfId="0" applyNumberFormat="1" applyFont="1" applyAlignment="1">
      <alignment horizontal="left"/>
    </xf>
    <xf numFmtId="169" fontId="29" fillId="0" borderId="0" xfId="0" applyNumberFormat="1" applyFont="1" applyFill="1"/>
    <xf numFmtId="9" fontId="29" fillId="0" borderId="0" xfId="133" applyNumberFormat="1" applyFont="1" applyFill="1"/>
    <xf numFmtId="3" fontId="29" fillId="0" borderId="0" xfId="0" applyNumberFormat="1" applyFont="1" applyAlignment="1">
      <alignment horizontal="right"/>
    </xf>
    <xf numFmtId="0" fontId="22" fillId="0" borderId="0" xfId="0" applyFont="1" applyAlignment="1">
      <alignment horizontal="left"/>
    </xf>
    <xf numFmtId="0" fontId="22" fillId="0" borderId="0" xfId="0" applyFont="1" applyAlignment="1">
      <alignment horizontal="right"/>
    </xf>
    <xf numFmtId="3" fontId="22" fillId="0" borderId="0" xfId="0" applyNumberFormat="1" applyFont="1" applyAlignment="1">
      <alignment horizontal="left"/>
    </xf>
    <xf numFmtId="168" fontId="22" fillId="0" borderId="0" xfId="0" applyNumberFormat="1" applyFont="1" applyAlignment="1">
      <alignment horizontal="left"/>
    </xf>
    <xf numFmtId="0" fontId="39" fillId="0" borderId="0" xfId="0" applyFont="1" applyAlignment="1">
      <alignment vertical="center"/>
    </xf>
    <xf numFmtId="170" fontId="29" fillId="0" borderId="0" xfId="0" applyNumberFormat="1" applyFont="1" applyAlignment="1">
      <alignment horizontal="right"/>
    </xf>
    <xf numFmtId="169" fontId="45" fillId="0" borderId="0" xfId="133" applyNumberFormat="1" applyFont="1" applyFill="1" applyBorder="1"/>
    <xf numFmtId="169" fontId="29" fillId="0" borderId="17" xfId="133" applyNumberFormat="1" applyFont="1" applyFill="1" applyBorder="1"/>
    <xf numFmtId="0" fontId="29" fillId="0" borderId="17" xfId="0" applyFont="1" applyFill="1" applyBorder="1"/>
    <xf numFmtId="0" fontId="29" fillId="0" borderId="17" xfId="0" applyFont="1" applyBorder="1" applyAlignment="1">
      <alignment horizontal="right"/>
    </xf>
    <xf numFmtId="169" fontId="29" fillId="0" borderId="17" xfId="133" applyNumberFormat="1" applyFont="1" applyBorder="1" applyAlignment="1">
      <alignment horizontal="right"/>
    </xf>
    <xf numFmtId="0" fontId="49" fillId="0" borderId="0" xfId="0" applyFont="1" applyBorder="1"/>
    <xf numFmtId="169" fontId="50" fillId="0" borderId="0" xfId="133" applyNumberFormat="1" applyFont="1" applyFill="1" applyBorder="1"/>
    <xf numFmtId="168" fontId="22" fillId="0" borderId="0" xfId="0" applyNumberFormat="1" applyFont="1" applyAlignment="1">
      <alignment horizontal="right"/>
    </xf>
    <xf numFmtId="165" fontId="22" fillId="0" borderId="0" xfId="0" applyNumberFormat="1" applyFont="1" applyAlignment="1">
      <alignment horizontal="right"/>
    </xf>
    <xf numFmtId="5" fontId="0" fillId="0" borderId="0" xfId="0" applyNumberFormat="1"/>
    <xf numFmtId="5" fontId="0" fillId="0" borderId="0" xfId="0" applyNumberFormat="1" applyBorder="1"/>
    <xf numFmtId="1" fontId="0" fillId="0" borderId="0" xfId="0" applyNumberFormat="1" applyBorder="1" applyAlignment="1">
      <alignment horizontal="right"/>
    </xf>
    <xf numFmtId="169" fontId="0" fillId="0" borderId="0" xfId="133" applyNumberFormat="1" applyFont="1" applyFill="1" applyBorder="1" applyAlignment="1" applyProtection="1">
      <alignment horizontal="right"/>
      <protection locked="0"/>
    </xf>
    <xf numFmtId="1" fontId="0" fillId="0" borderId="0" xfId="0" applyNumberFormat="1" applyFill="1" applyBorder="1" applyAlignment="1" applyProtection="1">
      <alignment horizontal="right"/>
      <protection locked="0"/>
    </xf>
    <xf numFmtId="1" fontId="0" fillId="0" borderId="0" xfId="133" applyNumberFormat="1" applyFont="1" applyFill="1" applyBorder="1" applyAlignment="1" applyProtection="1">
      <alignment horizontal="right"/>
    </xf>
    <xf numFmtId="44" fontId="0" fillId="0" borderId="0" xfId="133" applyFont="1" applyFill="1" applyBorder="1" applyAlignment="1" applyProtection="1">
      <alignment horizontal="right"/>
    </xf>
    <xf numFmtId="0" fontId="0" fillId="0" borderId="0" xfId="0" applyNumberFormat="1" applyFill="1" applyBorder="1" applyAlignment="1" applyProtection="1">
      <alignment horizontal="left"/>
      <protection locked="0"/>
    </xf>
    <xf numFmtId="0" fontId="0" fillId="0" borderId="17" xfId="0" applyNumberFormat="1" applyFill="1" applyBorder="1" applyAlignment="1" applyProtection="1"/>
    <xf numFmtId="2" fontId="0" fillId="0" borderId="17" xfId="0" applyNumberFormat="1" applyFill="1" applyBorder="1" applyAlignment="1" applyProtection="1">
      <protection locked="0"/>
    </xf>
    <xf numFmtId="169" fontId="0" fillId="0" borderId="17" xfId="0" applyNumberFormat="1" applyFill="1" applyBorder="1" applyAlignment="1" applyProtection="1">
      <alignment horizontal="center"/>
      <protection locked="0"/>
    </xf>
    <xf numFmtId="169" fontId="0" fillId="0" borderId="17" xfId="133" applyNumberFormat="1" applyFont="1" applyFill="1" applyBorder="1" applyProtection="1"/>
    <xf numFmtId="167" fontId="0" fillId="0" borderId="0" xfId="0" applyNumberFormat="1" applyAlignment="1">
      <alignment horizontal="right"/>
    </xf>
    <xf numFmtId="167" fontId="0" fillId="0" borderId="0" xfId="0" applyNumberFormat="1" applyAlignment="1">
      <alignment horizontal="left"/>
    </xf>
    <xf numFmtId="0" fontId="0" fillId="0" borderId="0" xfId="0" applyFill="1" applyAlignment="1">
      <alignment horizontal="right"/>
    </xf>
    <xf numFmtId="0" fontId="26" fillId="0" borderId="17" xfId="0" applyNumberFormat="1" applyFont="1" applyFill="1" applyBorder="1" applyAlignment="1" applyProtection="1">
      <alignment horizontal="center"/>
    </xf>
    <xf numFmtId="44" fontId="0" fillId="0" borderId="0" xfId="133" applyNumberFormat="1" applyFont="1" applyFill="1" applyBorder="1"/>
    <xf numFmtId="1" fontId="0" fillId="0" borderId="0" xfId="0" applyNumberFormat="1" applyAlignment="1">
      <alignment horizontal="right"/>
    </xf>
    <xf numFmtId="3" fontId="0" fillId="0" borderId="0" xfId="0" applyNumberFormat="1" applyAlignment="1">
      <alignment horizontal="right"/>
    </xf>
    <xf numFmtId="4" fontId="0" fillId="0" borderId="0" xfId="0" applyNumberFormat="1" applyAlignment="1">
      <alignment horizontal="right"/>
    </xf>
    <xf numFmtId="169" fontId="0" fillId="0" borderId="0" xfId="133" applyNumberFormat="1" applyFont="1" applyAlignment="1">
      <alignment horizontal="right"/>
    </xf>
    <xf numFmtId="169" fontId="0" fillId="0" borderId="17" xfId="133" applyNumberFormat="1" applyFont="1" applyBorder="1" applyAlignment="1">
      <alignment horizontal="right"/>
    </xf>
    <xf numFmtId="175" fontId="0" fillId="0" borderId="0" xfId="0" applyNumberFormat="1"/>
    <xf numFmtId="167" fontId="3" fillId="0" borderId="0" xfId="0" applyNumberFormat="1" applyFont="1"/>
    <xf numFmtId="3" fontId="0" fillId="0" borderId="0" xfId="0" applyNumberFormat="1" applyAlignment="1">
      <alignment wrapText="1"/>
    </xf>
    <xf numFmtId="44" fontId="0" fillId="0" borderId="0" xfId="0" applyNumberFormat="1" applyFill="1"/>
    <xf numFmtId="44" fontId="3" fillId="0" borderId="0" xfId="0" applyNumberFormat="1" applyFont="1" applyFill="1"/>
    <xf numFmtId="42" fontId="0" fillId="0" borderId="17" xfId="0" applyNumberFormat="1" applyBorder="1"/>
    <xf numFmtId="1" fontId="0" fillId="0" borderId="17" xfId="0" applyNumberFormat="1" applyBorder="1" applyAlignment="1">
      <alignment horizontal="center"/>
    </xf>
    <xf numFmtId="42" fontId="0" fillId="0" borderId="17" xfId="0" applyNumberFormat="1" applyFill="1" applyBorder="1"/>
    <xf numFmtId="9" fontId="3" fillId="0" borderId="17" xfId="150" applyFont="1" applyFill="1" applyBorder="1"/>
    <xf numFmtId="42" fontId="42" fillId="0" borderId="0" xfId="0" applyNumberFormat="1" applyFont="1" applyFill="1"/>
    <xf numFmtId="37" fontId="0" fillId="0" borderId="0" xfId="0" applyNumberFormat="1"/>
    <xf numFmtId="170" fontId="0" fillId="0" borderId="0" xfId="0" applyNumberFormat="1" applyAlignment="1">
      <alignment horizontal="right"/>
    </xf>
    <xf numFmtId="0" fontId="3" fillId="0" borderId="0" xfId="0" applyNumberFormat="1" applyFont="1" applyFill="1" applyAlignment="1">
      <alignment horizontal="left"/>
    </xf>
    <xf numFmtId="9" fontId="3" fillId="0" borderId="0" xfId="150" applyNumberFormat="1" applyFont="1" applyFill="1"/>
    <xf numFmtId="0" fontId="0" fillId="0" borderId="0" xfId="0" applyFont="1" applyBorder="1" applyAlignment="1">
      <alignment horizontal="right"/>
    </xf>
    <xf numFmtId="0" fontId="0" fillId="0" borderId="0" xfId="0"/>
    <xf numFmtId="0" fontId="0" fillId="0" borderId="0" xfId="0"/>
    <xf numFmtId="0" fontId="3" fillId="0" borderId="17" xfId="0" applyFont="1" applyBorder="1" applyAlignment="1">
      <alignment horizontal="left"/>
    </xf>
    <xf numFmtId="16" fontId="0" fillId="0" borderId="0" xfId="0" applyNumberFormat="1"/>
    <xf numFmtId="3" fontId="29" fillId="0" borderId="0" xfId="0" applyNumberFormat="1" applyFont="1" applyFill="1"/>
    <xf numFmtId="0" fontId="28" fillId="27" borderId="15" xfId="0" applyFont="1" applyFill="1" applyBorder="1" applyAlignment="1">
      <alignment horizontal="center"/>
    </xf>
    <xf numFmtId="0" fontId="28" fillId="27" borderId="18" xfId="0" applyFont="1" applyFill="1" applyBorder="1" applyAlignment="1">
      <alignment horizontal="center"/>
    </xf>
    <xf numFmtId="0" fontId="40" fillId="27" borderId="10" xfId="0" applyFont="1" applyFill="1" applyBorder="1" applyAlignment="1">
      <alignment horizontal="center"/>
    </xf>
    <xf numFmtId="0" fontId="40" fillId="27" borderId="13" xfId="0" applyFont="1" applyFill="1" applyBorder="1" applyAlignment="1">
      <alignment horizontal="center"/>
    </xf>
    <xf numFmtId="0" fontId="40" fillId="27" borderId="15" xfId="0" applyFont="1" applyFill="1" applyBorder="1" applyAlignment="1">
      <alignment horizontal="center"/>
    </xf>
    <xf numFmtId="0" fontId="40" fillId="27" borderId="18" xfId="0" applyFont="1" applyFill="1" applyBorder="1" applyAlignment="1">
      <alignment horizontal="center"/>
    </xf>
    <xf numFmtId="0" fontId="40" fillId="27" borderId="19" xfId="0" applyFont="1" applyFill="1" applyBorder="1" applyAlignment="1">
      <alignment horizontal="center"/>
    </xf>
    <xf numFmtId="0" fontId="40" fillId="27" borderId="14" xfId="0" applyFont="1" applyFill="1" applyBorder="1" applyAlignment="1">
      <alignment horizontal="center"/>
    </xf>
    <xf numFmtId="0" fontId="23" fillId="0" borderId="10" xfId="55" applyFont="1" applyFill="1" applyBorder="1" applyAlignment="1">
      <alignment horizontal="center"/>
    </xf>
    <xf numFmtId="0" fontId="23" fillId="0" borderId="13" xfId="55" applyFont="1" applyFill="1" applyBorder="1" applyAlignment="1">
      <alignment horizontal="center"/>
    </xf>
    <xf numFmtId="0" fontId="3" fillId="0" borderId="0" xfId="0" applyFont="1" applyAlignment="1">
      <alignment horizontal="center"/>
    </xf>
    <xf numFmtId="0" fontId="0" fillId="0" borderId="0" xfId="0" applyBorder="1" applyAlignment="1">
      <alignment horizontal="left" vertical="center"/>
    </xf>
    <xf numFmtId="0" fontId="5" fillId="0" borderId="0" xfId="0" applyFont="1" applyFill="1" applyBorder="1" applyAlignment="1">
      <alignment horizontal="center" vertical="top" wrapText="1"/>
    </xf>
    <xf numFmtId="3" fontId="5" fillId="0" borderId="0" xfId="0" applyNumberFormat="1" applyFont="1" applyFill="1" applyBorder="1" applyAlignment="1">
      <alignment horizontal="center" vertical="top" wrapText="1"/>
    </xf>
    <xf numFmtId="0" fontId="0" fillId="0" borderId="0" xfId="0" applyAlignment="1">
      <alignment horizontal="center"/>
    </xf>
  </cellXfs>
  <cellStyles count="151">
    <cellStyle name="20% - Accent1 2" xfId="5"/>
    <cellStyle name="20% - Accent1 3" xfId="56"/>
    <cellStyle name="20% - Accent2 2" xfId="6"/>
    <cellStyle name="20% - Accent2 3" xfId="57"/>
    <cellStyle name="20% - Accent3 2" xfId="7"/>
    <cellStyle name="20% - Accent3 3" xfId="58"/>
    <cellStyle name="20% - Accent4 2" xfId="8"/>
    <cellStyle name="20% - Accent4 3" xfId="59"/>
    <cellStyle name="20% - Accent5 2" xfId="9"/>
    <cellStyle name="20% - Accent5 3" xfId="60"/>
    <cellStyle name="20% - Accent6 2" xfId="10"/>
    <cellStyle name="20% - Accent6 3" xfId="61"/>
    <cellStyle name="40% - Accent1 2" xfId="11"/>
    <cellStyle name="40% - Accent1 3" xfId="62"/>
    <cellStyle name="40% - Accent2 2" xfId="12"/>
    <cellStyle name="40% - Accent2 3" xfId="63"/>
    <cellStyle name="40% - Accent3 2" xfId="13"/>
    <cellStyle name="40% - Accent3 3" xfId="64"/>
    <cellStyle name="40% - Accent4 2" xfId="14"/>
    <cellStyle name="40% - Accent4 3" xfId="65"/>
    <cellStyle name="40% - Accent5 2" xfId="15"/>
    <cellStyle name="40% - Accent5 3" xfId="66"/>
    <cellStyle name="40% - Accent6 2" xfId="16"/>
    <cellStyle name="40% - Accent6 3" xfId="67"/>
    <cellStyle name="60% - Accent1 2" xfId="17"/>
    <cellStyle name="60% - Accent1 3" xfId="68"/>
    <cellStyle name="60% - Accent2 2" xfId="18"/>
    <cellStyle name="60% - Accent2 3" xfId="69"/>
    <cellStyle name="60% - Accent3 2" xfId="19"/>
    <cellStyle name="60% - Accent3 3" xfId="70"/>
    <cellStyle name="60% - Accent4 2" xfId="20"/>
    <cellStyle name="60% - Accent4 3" xfId="71"/>
    <cellStyle name="60% - Accent5 2" xfId="21"/>
    <cellStyle name="60% - Accent5 3" xfId="72"/>
    <cellStyle name="60% - Accent6 2" xfId="22"/>
    <cellStyle name="60% - Accent6 3" xfId="73"/>
    <cellStyle name="Accent1 2" xfId="23"/>
    <cellStyle name="Accent1 3" xfId="74"/>
    <cellStyle name="Accent2 2" xfId="24"/>
    <cellStyle name="Accent2 3" xfId="75"/>
    <cellStyle name="Accent3 2" xfId="25"/>
    <cellStyle name="Accent3 3" xfId="76"/>
    <cellStyle name="Accent4 2" xfId="26"/>
    <cellStyle name="Accent4 3" xfId="77"/>
    <cellStyle name="Accent5 2" xfId="27"/>
    <cellStyle name="Accent5 3" xfId="78"/>
    <cellStyle name="Accent6 2" xfId="28"/>
    <cellStyle name="Accent6 3" xfId="79"/>
    <cellStyle name="Bad 2" xfId="29"/>
    <cellStyle name="Bad 3" xfId="80"/>
    <cellStyle name="Calculation 2" xfId="30"/>
    <cellStyle name="Calculation 2 2" xfId="81"/>
    <cellStyle name="Calculation 3" xfId="82"/>
    <cellStyle name="Calculation 3 2" xfId="83"/>
    <cellStyle name="Check Cell 2" xfId="31"/>
    <cellStyle name="Check Cell 3" xfId="84"/>
    <cellStyle name="Comma 2" xfId="4"/>
    <cellStyle name="Comma 2 2" xfId="85"/>
    <cellStyle name="Comma 3" xfId="86"/>
    <cellStyle name="Currency" xfId="133" builtinId="4"/>
    <cellStyle name="Currency 2" xfId="87"/>
    <cellStyle name="Explanatory Text 2" xfId="32"/>
    <cellStyle name="Explanatory Text 3" xfId="88"/>
    <cellStyle name="Good 2" xfId="33"/>
    <cellStyle name="Good 3" xfId="89"/>
    <cellStyle name="Heading 1 2" xfId="34"/>
    <cellStyle name="Heading 1 3" xfId="90"/>
    <cellStyle name="Heading 2 2" xfId="35"/>
    <cellStyle name="Heading 2 3" xfId="91"/>
    <cellStyle name="Heading 3 2" xfId="36"/>
    <cellStyle name="Heading 3 3" xfId="92"/>
    <cellStyle name="Heading 4 2" xfId="37"/>
    <cellStyle name="Heading 4 3" xfId="93"/>
    <cellStyle name="Hyperlink" xfId="134" builtinId="8"/>
    <cellStyle name="Hyperlink 2" xfId="135"/>
    <cellStyle name="Input 2" xfId="38"/>
    <cellStyle name="Input 2 2" xfId="94"/>
    <cellStyle name="Input 3" xfId="95"/>
    <cellStyle name="Input 3 2" xfId="96"/>
    <cellStyle name="Linked Cell 2" xfId="39"/>
    <cellStyle name="Linked Cell 3" xfId="97"/>
    <cellStyle name="Neutral 2" xfId="40"/>
    <cellStyle name="Neutral 3" xfId="98"/>
    <cellStyle name="Normal" xfId="0" builtinId="0"/>
    <cellStyle name="Normal 10" xfId="55"/>
    <cellStyle name="Normal 100" xfId="136"/>
    <cellStyle name="Normal 103" xfId="137"/>
    <cellStyle name="Normal 11" xfId="99"/>
    <cellStyle name="Normal 11 2" xfId="100"/>
    <cellStyle name="Normal 11 3" xfId="101"/>
    <cellStyle name="Normal 12" xfId="102"/>
    <cellStyle name="Normal 2" xfId="1"/>
    <cellStyle name="Normal 2 2" xfId="54"/>
    <cellStyle name="Normal 2 2 2" xfId="127"/>
    <cellStyle name="Normal 2 2 3" xfId="149"/>
    <cellStyle name="Normal 2 3" xfId="53"/>
    <cellStyle name="Normal 3" xfId="3"/>
    <cellStyle name="Normal 3 2" xfId="103"/>
    <cellStyle name="Normal 4" xfId="41"/>
    <cellStyle name="Normal 4 2" xfId="49"/>
    <cellStyle name="Normal 4 2 2" xfId="104"/>
    <cellStyle name="Normal 4 2 3" xfId="130"/>
    <cellStyle name="Normal 4 3" xfId="105"/>
    <cellStyle name="Normal 4 4" xfId="128"/>
    <cellStyle name="Normal 4_Energy Model" xfId="50"/>
    <cellStyle name="Normal 5" xfId="51"/>
    <cellStyle name="Normal 5 2" xfId="106"/>
    <cellStyle name="Normal 5 3" xfId="131"/>
    <cellStyle name="Normal 6" xfId="107"/>
    <cellStyle name="Normal 6 2" xfId="138"/>
    <cellStyle name="Normal 6 3" xfId="139"/>
    <cellStyle name="Normal 7" xfId="108"/>
    <cellStyle name="Normal 8" xfId="109"/>
    <cellStyle name="Normal 9" xfId="110"/>
    <cellStyle name="Note 2" xfId="42"/>
    <cellStyle name="Note 2 2" xfId="111"/>
    <cellStyle name="Note 3" xfId="112"/>
    <cellStyle name="Note 3 2" xfId="113"/>
    <cellStyle name="Output 2" xfId="43"/>
    <cellStyle name="Output 2 2" xfId="114"/>
    <cellStyle name="Output 3" xfId="115"/>
    <cellStyle name="Output 3 2" xfId="116"/>
    <cellStyle name="Percent" xfId="150" builtinId="5"/>
    <cellStyle name="Percent 2" xfId="2"/>
    <cellStyle name="Percent 2 2" xfId="117"/>
    <cellStyle name="Percent 2 3" xfId="140"/>
    <cellStyle name="Percent 3" xfId="44"/>
    <cellStyle name="Percent 3 2" xfId="118"/>
    <cellStyle name="Percent 4" xfId="45"/>
    <cellStyle name="Percent 4 2" xfId="52"/>
    <cellStyle name="Percent 4 2 2" xfId="119"/>
    <cellStyle name="Percent 4 2 3" xfId="132"/>
    <cellStyle name="Percent 4 3" xfId="120"/>
    <cellStyle name="Percent 4 4" xfId="129"/>
    <cellStyle name="Percent 5" xfId="121"/>
    <cellStyle name="Style 1" xfId="141"/>
    <cellStyle name="Style 1 2" xfId="142"/>
    <cellStyle name="Style 1 2 2" xfId="143"/>
    <cellStyle name="Style 1 3" xfId="144"/>
    <cellStyle name="Style 1 3 2" xfId="145"/>
    <cellStyle name="Style 1 3 3" xfId="146"/>
    <cellStyle name="Style 1 4" xfId="147"/>
    <cellStyle name="Style 1 5" xfId="148"/>
    <cellStyle name="Title 2" xfId="46"/>
    <cellStyle name="Title 3" xfId="122"/>
    <cellStyle name="Total 2" xfId="47"/>
    <cellStyle name="Total 2 2" xfId="123"/>
    <cellStyle name="Total 3" xfId="124"/>
    <cellStyle name="Total 3 2" xfId="125"/>
    <cellStyle name="Warning Text 2" xfId="48"/>
    <cellStyle name="Warning Text 3" xfId="12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Tables'!$A$7</c:f>
              <c:strCache>
                <c:ptCount val="1"/>
                <c:pt idx="0">
                  <c:v>Development</c:v>
                </c:pt>
              </c:strCache>
            </c:strRef>
          </c:tx>
          <c:invertIfNegative val="0"/>
          <c:cat>
            <c:numRef>
              <c:f>'Report Graphs'!$B$2:$E$2</c:f>
              <c:numCache>
                <c:formatCode>General</c:formatCode>
                <c:ptCount val="4"/>
                <c:pt idx="0">
                  <c:v>1</c:v>
                </c:pt>
                <c:pt idx="1">
                  <c:v>10</c:v>
                </c:pt>
                <c:pt idx="2">
                  <c:v>50</c:v>
                </c:pt>
                <c:pt idx="3">
                  <c:v>100</c:v>
                </c:pt>
              </c:numCache>
            </c:numRef>
          </c:cat>
          <c:val>
            <c:numRef>
              <c:f>'Report Tables'!$B$7:$E$7</c:f>
              <c:numCache>
                <c:formatCode>"$"#,##0</c:formatCode>
                <c:ptCount val="4"/>
                <c:pt idx="0">
                  <c:v>942</c:v>
                </c:pt>
                <c:pt idx="1">
                  <c:v>1998</c:v>
                </c:pt>
                <c:pt idx="2">
                  <c:v>2434</c:v>
                </c:pt>
                <c:pt idx="3">
                  <c:v>2588</c:v>
                </c:pt>
              </c:numCache>
            </c:numRef>
          </c:val>
        </c:ser>
        <c:ser>
          <c:idx val="1"/>
          <c:order val="1"/>
          <c:tx>
            <c:strRef>
              <c:f>'Report Tables'!$A$8</c:f>
              <c:strCache>
                <c:ptCount val="1"/>
                <c:pt idx="0">
                  <c:v>Infrastructure</c:v>
                </c:pt>
              </c:strCache>
            </c:strRef>
          </c:tx>
          <c:invertIfNegative val="0"/>
          <c:cat>
            <c:numRef>
              <c:f>'Report Graphs'!$B$2:$E$2</c:f>
              <c:numCache>
                <c:formatCode>General</c:formatCode>
                <c:ptCount val="4"/>
                <c:pt idx="0">
                  <c:v>1</c:v>
                </c:pt>
                <c:pt idx="1">
                  <c:v>10</c:v>
                </c:pt>
                <c:pt idx="2">
                  <c:v>50</c:v>
                </c:pt>
                <c:pt idx="3">
                  <c:v>100</c:v>
                </c:pt>
              </c:numCache>
            </c:numRef>
          </c:cat>
          <c:val>
            <c:numRef>
              <c:f>'Report Tables'!$B$8:$E$8</c:f>
              <c:numCache>
                <c:formatCode>"$"#,##0</c:formatCode>
                <c:ptCount val="4"/>
                <c:pt idx="0">
                  <c:v>148</c:v>
                </c:pt>
                <c:pt idx="1">
                  <c:v>219</c:v>
                </c:pt>
                <c:pt idx="2">
                  <c:v>723</c:v>
                </c:pt>
                <c:pt idx="3">
                  <c:v>1398</c:v>
                </c:pt>
              </c:numCache>
            </c:numRef>
          </c:val>
        </c:ser>
        <c:ser>
          <c:idx val="3"/>
          <c:order val="2"/>
          <c:tx>
            <c:strRef>
              <c:f>'Report Tables'!$A$9</c:f>
              <c:strCache>
                <c:ptCount val="1"/>
                <c:pt idx="0">
                  <c:v>Mooring/Foundation</c:v>
                </c:pt>
              </c:strCache>
            </c:strRef>
          </c:tx>
          <c:spPr>
            <a:solidFill>
              <a:srgbClr val="FFC000"/>
            </a:solidFill>
          </c:spPr>
          <c:invertIfNegative val="0"/>
          <c:cat>
            <c:numRef>
              <c:f>'Report Graphs'!$B$2:$E$2</c:f>
              <c:numCache>
                <c:formatCode>General</c:formatCode>
                <c:ptCount val="4"/>
                <c:pt idx="0">
                  <c:v>1</c:v>
                </c:pt>
                <c:pt idx="1">
                  <c:v>10</c:v>
                </c:pt>
                <c:pt idx="2">
                  <c:v>50</c:v>
                </c:pt>
                <c:pt idx="3">
                  <c:v>100</c:v>
                </c:pt>
              </c:numCache>
            </c:numRef>
          </c:cat>
          <c:val>
            <c:numRef>
              <c:f>'Report Tables'!$B$9:$E$9</c:f>
              <c:numCache>
                <c:formatCode>"$"#,##0</c:formatCode>
                <c:ptCount val="4"/>
                <c:pt idx="0">
                  <c:v>22</c:v>
                </c:pt>
                <c:pt idx="1">
                  <c:v>217</c:v>
                </c:pt>
                <c:pt idx="2">
                  <c:v>1085</c:v>
                </c:pt>
                <c:pt idx="3">
                  <c:v>2170</c:v>
                </c:pt>
              </c:numCache>
            </c:numRef>
          </c:val>
        </c:ser>
        <c:ser>
          <c:idx val="4"/>
          <c:order val="3"/>
          <c:tx>
            <c:strRef>
              <c:f>'Report Tables'!$A$10</c:f>
              <c:strCache>
                <c:ptCount val="1"/>
                <c:pt idx="0">
                  <c:v>Device Structural Components</c:v>
                </c:pt>
              </c:strCache>
            </c:strRef>
          </c:tx>
          <c:spPr>
            <a:solidFill>
              <a:srgbClr val="00B050"/>
            </a:solidFill>
          </c:spPr>
          <c:invertIfNegative val="0"/>
          <c:cat>
            <c:numRef>
              <c:f>'Report Graphs'!$B$2:$E$2</c:f>
              <c:numCache>
                <c:formatCode>General</c:formatCode>
                <c:ptCount val="4"/>
                <c:pt idx="0">
                  <c:v>1</c:v>
                </c:pt>
                <c:pt idx="1">
                  <c:v>10</c:v>
                </c:pt>
                <c:pt idx="2">
                  <c:v>50</c:v>
                </c:pt>
                <c:pt idx="3">
                  <c:v>100</c:v>
                </c:pt>
              </c:numCache>
            </c:numRef>
          </c:cat>
          <c:val>
            <c:numRef>
              <c:f>'Report Tables'!$B$10:$E$10</c:f>
              <c:numCache>
                <c:formatCode>"$"#,##0</c:formatCode>
                <c:ptCount val="4"/>
                <c:pt idx="0">
                  <c:v>296</c:v>
                </c:pt>
                <c:pt idx="1">
                  <c:v>2074</c:v>
                </c:pt>
                <c:pt idx="2">
                  <c:v>9101</c:v>
                </c:pt>
                <c:pt idx="3">
                  <c:v>17602</c:v>
                </c:pt>
              </c:numCache>
            </c:numRef>
          </c:val>
        </c:ser>
        <c:ser>
          <c:idx val="5"/>
          <c:order val="4"/>
          <c:tx>
            <c:strRef>
              <c:f>'Report Tables'!$A$11</c:f>
              <c:strCache>
                <c:ptCount val="1"/>
                <c:pt idx="0">
                  <c:v>Power Take Off</c:v>
                </c:pt>
              </c:strCache>
            </c:strRef>
          </c:tx>
          <c:invertIfNegative val="0"/>
          <c:cat>
            <c:numRef>
              <c:f>'Report Graphs'!$B$2:$E$2</c:f>
              <c:numCache>
                <c:formatCode>General</c:formatCode>
                <c:ptCount val="4"/>
                <c:pt idx="0">
                  <c:v>1</c:v>
                </c:pt>
                <c:pt idx="1">
                  <c:v>10</c:v>
                </c:pt>
                <c:pt idx="2">
                  <c:v>50</c:v>
                </c:pt>
                <c:pt idx="3">
                  <c:v>100</c:v>
                </c:pt>
              </c:numCache>
            </c:numRef>
          </c:cat>
          <c:val>
            <c:numRef>
              <c:f>'Report Tables'!$B$11:$E$11</c:f>
              <c:numCache>
                <c:formatCode>"$"#,##0</c:formatCode>
                <c:ptCount val="4"/>
                <c:pt idx="0">
                  <c:v>847</c:v>
                </c:pt>
                <c:pt idx="1">
                  <c:v>3372</c:v>
                </c:pt>
                <c:pt idx="2">
                  <c:v>9793</c:v>
                </c:pt>
                <c:pt idx="3">
                  <c:v>15887</c:v>
                </c:pt>
              </c:numCache>
            </c:numRef>
          </c:val>
        </c:ser>
        <c:ser>
          <c:idx val="2"/>
          <c:order val="5"/>
          <c:tx>
            <c:strRef>
              <c:f>'Report Tables'!$A$12</c:f>
              <c:strCache>
                <c:ptCount val="1"/>
                <c:pt idx="0">
                  <c:v>Subsystem Integration &amp; Profit Margin</c:v>
                </c:pt>
              </c:strCache>
            </c:strRef>
          </c:tx>
          <c:invertIfNegative val="0"/>
          <c:cat>
            <c:numRef>
              <c:f>'Report Graphs'!$B$2:$E$2</c:f>
              <c:numCache>
                <c:formatCode>General</c:formatCode>
                <c:ptCount val="4"/>
                <c:pt idx="0">
                  <c:v>1</c:v>
                </c:pt>
                <c:pt idx="1">
                  <c:v>10</c:v>
                </c:pt>
                <c:pt idx="2">
                  <c:v>50</c:v>
                </c:pt>
                <c:pt idx="3">
                  <c:v>100</c:v>
                </c:pt>
              </c:numCache>
            </c:numRef>
          </c:cat>
          <c:val>
            <c:numRef>
              <c:f>'Report Tables'!$B$12:$E$12</c:f>
              <c:numCache>
                <c:formatCode>"$"#,##0</c:formatCode>
                <c:ptCount val="4"/>
                <c:pt idx="0">
                  <c:v>114</c:v>
                </c:pt>
                <c:pt idx="1">
                  <c:v>545</c:v>
                </c:pt>
                <c:pt idx="2">
                  <c:v>1889</c:v>
                </c:pt>
                <c:pt idx="3">
                  <c:v>3349</c:v>
                </c:pt>
              </c:numCache>
            </c:numRef>
          </c:val>
        </c:ser>
        <c:ser>
          <c:idx val="6"/>
          <c:order val="6"/>
          <c:tx>
            <c:strRef>
              <c:f>'Report Tables'!$A$13</c:f>
              <c:strCache>
                <c:ptCount val="1"/>
                <c:pt idx="0">
                  <c:v>Installation</c:v>
                </c:pt>
              </c:strCache>
            </c:strRef>
          </c:tx>
          <c:invertIfNegative val="0"/>
          <c:cat>
            <c:numRef>
              <c:f>'Report Graphs'!$B$2:$E$2</c:f>
              <c:numCache>
                <c:formatCode>General</c:formatCode>
                <c:ptCount val="4"/>
                <c:pt idx="0">
                  <c:v>1</c:v>
                </c:pt>
                <c:pt idx="1">
                  <c:v>10</c:v>
                </c:pt>
                <c:pt idx="2">
                  <c:v>50</c:v>
                </c:pt>
                <c:pt idx="3">
                  <c:v>100</c:v>
                </c:pt>
              </c:numCache>
            </c:numRef>
          </c:cat>
          <c:val>
            <c:numRef>
              <c:f>'Report Tables'!$B$13:$E$13</c:f>
              <c:numCache>
                <c:formatCode>"$"#,##0</c:formatCode>
                <c:ptCount val="4"/>
                <c:pt idx="0">
                  <c:v>530</c:v>
                </c:pt>
                <c:pt idx="1">
                  <c:v>701</c:v>
                </c:pt>
                <c:pt idx="2">
                  <c:v>1555</c:v>
                </c:pt>
                <c:pt idx="3">
                  <c:v>2692</c:v>
                </c:pt>
              </c:numCache>
            </c:numRef>
          </c:val>
        </c:ser>
        <c:ser>
          <c:idx val="7"/>
          <c:order val="7"/>
          <c:tx>
            <c:strRef>
              <c:f>'Report Tables'!$A$14</c:f>
              <c:strCache>
                <c:ptCount val="1"/>
                <c:pt idx="0">
                  <c:v>Contingency</c:v>
                </c:pt>
              </c:strCache>
            </c:strRef>
          </c:tx>
          <c:invertIfNegative val="0"/>
          <c:cat>
            <c:numRef>
              <c:f>'Report Graphs'!$B$2:$E$2</c:f>
              <c:numCache>
                <c:formatCode>General</c:formatCode>
                <c:ptCount val="4"/>
                <c:pt idx="0">
                  <c:v>1</c:v>
                </c:pt>
                <c:pt idx="1">
                  <c:v>10</c:v>
                </c:pt>
                <c:pt idx="2">
                  <c:v>50</c:v>
                </c:pt>
                <c:pt idx="3">
                  <c:v>100</c:v>
                </c:pt>
              </c:numCache>
            </c:numRef>
          </c:cat>
          <c:val>
            <c:numRef>
              <c:f>'Report Tables'!$B$14:$E$14</c:f>
              <c:numCache>
                <c:formatCode>"$"#,##0</c:formatCode>
                <c:ptCount val="4"/>
                <c:pt idx="0">
                  <c:v>290</c:v>
                </c:pt>
                <c:pt idx="1">
                  <c:v>913</c:v>
                </c:pt>
                <c:pt idx="2">
                  <c:v>2658</c:v>
                </c:pt>
                <c:pt idx="3">
                  <c:v>4569</c:v>
                </c:pt>
              </c:numCache>
            </c:numRef>
          </c:val>
        </c:ser>
        <c:dLbls>
          <c:showLegendKey val="0"/>
          <c:showVal val="0"/>
          <c:showCatName val="0"/>
          <c:showSerName val="0"/>
          <c:showPercent val="0"/>
          <c:showBubbleSize val="0"/>
        </c:dLbls>
        <c:gapWidth val="150"/>
        <c:overlap val="100"/>
        <c:axId val="56983552"/>
        <c:axId val="56985472"/>
      </c:barChart>
      <c:catAx>
        <c:axId val="56983552"/>
        <c:scaling>
          <c:orientation val="minMax"/>
        </c:scaling>
        <c:delete val="0"/>
        <c:axPos val="b"/>
        <c:majorGridlines>
          <c:spPr>
            <a:ln>
              <a:solidFill>
                <a:schemeClr val="bg1">
                  <a:lumMod val="85000"/>
                </a:schemeClr>
              </a:solidFill>
            </a:ln>
          </c:spPr>
        </c:majorGridlines>
        <c:title>
          <c:tx>
            <c:rich>
              <a:bodyPr/>
              <a:lstStyle/>
              <a:p>
                <a:pPr>
                  <a:defRPr/>
                </a:pPr>
                <a:r>
                  <a:rPr lang="en-US" baseline="0"/>
                  <a:t># of Units</a:t>
                </a:r>
              </a:p>
            </c:rich>
          </c:tx>
          <c:overlay val="0"/>
        </c:title>
        <c:numFmt formatCode="0" sourceLinked="0"/>
        <c:majorTickMark val="out"/>
        <c:minorTickMark val="none"/>
        <c:tickLblPos val="nextTo"/>
        <c:crossAx val="56985472"/>
        <c:crosses val="autoZero"/>
        <c:auto val="1"/>
        <c:lblAlgn val="ctr"/>
        <c:lblOffset val="100"/>
        <c:noMultiLvlLbl val="0"/>
      </c:catAx>
      <c:valAx>
        <c:axId val="56985472"/>
        <c:scaling>
          <c:orientation val="minMax"/>
          <c:min val="0"/>
        </c:scaling>
        <c:delete val="0"/>
        <c:axPos val="l"/>
        <c:majorGridlines>
          <c:spPr>
            <a:ln>
              <a:solidFill>
                <a:schemeClr val="bg1">
                  <a:lumMod val="85000"/>
                </a:schemeClr>
              </a:solidFill>
            </a:ln>
          </c:spPr>
        </c:majorGridlines>
        <c:title>
          <c:tx>
            <c:strRef>
              <c:f>'Report Tables'!$A$4</c:f>
              <c:strCache>
                <c:ptCount val="1"/>
                <c:pt idx="0">
                  <c:v>Total Cost in Thousands ($)</c:v>
                </c:pt>
              </c:strCache>
            </c:strRef>
          </c:tx>
          <c:overlay val="0"/>
          <c:txPr>
            <a:bodyPr rot="-5400000" vert="horz"/>
            <a:lstStyle/>
            <a:p>
              <a:pPr>
                <a:defRPr/>
              </a:pPr>
              <a:endParaRPr lang="en-US"/>
            </a:p>
          </c:txPr>
        </c:title>
        <c:numFmt formatCode="&quot;$&quot;#,##0" sourceLinked="1"/>
        <c:majorTickMark val="out"/>
        <c:minorTickMark val="none"/>
        <c:tickLblPos val="nextTo"/>
        <c:crossAx val="56983552"/>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06862006326881E-2"/>
          <c:y val="3.7855439125480686E-2"/>
          <c:w val="0.85855879665527246"/>
          <c:h val="0.81786333241008191"/>
        </c:manualLayout>
      </c:layout>
      <c:scatterChart>
        <c:scatterStyle val="smoothMarker"/>
        <c:varyColors val="0"/>
        <c:ser>
          <c:idx val="0"/>
          <c:order val="0"/>
          <c:spPr>
            <a:ln w="31750">
              <a:solidFill>
                <a:srgbClr val="0070C0"/>
              </a:solidFill>
              <a:prstDash val="solid"/>
            </a:ln>
          </c:spPr>
          <c:marker>
            <c:symbol val="none"/>
          </c:marker>
          <c:xVal>
            <c:numRef>
              <c:f>'Report Graphs'!$B$216:$U$216</c:f>
              <c:numCache>
                <c:formatCode>General</c:formatCode>
                <c:ptCount val="20"/>
              </c:numCache>
            </c:numRef>
          </c:xVal>
          <c:yVal>
            <c:numRef>
              <c:f>'Report Graphs'!$B$217:$U$217</c:f>
              <c:numCache>
                <c:formatCode>0%</c:formatCode>
                <c:ptCount val="20"/>
              </c:numCache>
            </c:numRef>
          </c:yVal>
          <c:smooth val="1"/>
        </c:ser>
        <c:ser>
          <c:idx val="1"/>
          <c:order val="1"/>
          <c:spPr>
            <a:ln>
              <a:prstDash val="dash"/>
            </a:ln>
          </c:spPr>
          <c:marker>
            <c:symbol val="none"/>
          </c:marker>
          <c:xVal>
            <c:numRef>
              <c:f>('Report Graphs'!$B$221,'Report Graphs'!$B$221)</c:f>
              <c:numCache>
                <c:formatCode>#,##0.00</c:formatCode>
                <c:ptCount val="2"/>
              </c:numCache>
            </c:numRef>
          </c:xVal>
          <c:yVal>
            <c:numRef>
              <c:f>('Report Graphs'!$B$217,'Report Graphs'!$U$217)</c:f>
              <c:numCache>
                <c:formatCode>0%</c:formatCode>
                <c:ptCount val="2"/>
              </c:numCache>
            </c:numRef>
          </c:yVal>
          <c:smooth val="1"/>
        </c:ser>
        <c:ser>
          <c:idx val="2"/>
          <c:order val="2"/>
          <c:spPr>
            <a:ln>
              <a:prstDash val="dash"/>
            </a:ln>
          </c:spPr>
          <c:marker>
            <c:symbol val="none"/>
          </c:marker>
          <c:xVal>
            <c:numRef>
              <c:f>('Report Graphs'!$B$223,'Report Graphs'!$B$223)</c:f>
              <c:numCache>
                <c:formatCode>#,##0.00</c:formatCode>
                <c:ptCount val="2"/>
              </c:numCache>
            </c:numRef>
          </c:xVal>
          <c:yVal>
            <c:numRef>
              <c:f>('Report Graphs'!$B$217,'Report Graphs'!$U$217)</c:f>
              <c:numCache>
                <c:formatCode>0%</c:formatCode>
                <c:ptCount val="2"/>
              </c:numCache>
            </c:numRef>
          </c:yVal>
          <c:smooth val="1"/>
        </c:ser>
        <c:dLbls>
          <c:showLegendKey val="0"/>
          <c:showVal val="0"/>
          <c:showCatName val="0"/>
          <c:showSerName val="0"/>
          <c:showPercent val="0"/>
          <c:showBubbleSize val="0"/>
        </c:dLbls>
        <c:axId val="58421632"/>
        <c:axId val="58423552"/>
      </c:scatterChart>
      <c:valAx>
        <c:axId val="58421632"/>
        <c:scaling>
          <c:orientation val="minMax"/>
          <c:min val="10"/>
        </c:scaling>
        <c:delete val="0"/>
        <c:axPos val="b"/>
        <c:majorGridlines>
          <c:spPr>
            <a:ln>
              <a:solidFill>
                <a:schemeClr val="bg1">
                  <a:lumMod val="85000"/>
                </a:schemeClr>
              </a:solidFill>
            </a:ln>
          </c:spPr>
        </c:majorGridlines>
        <c:title>
          <c:tx>
            <c:rich>
              <a:bodyPr/>
              <a:lstStyle/>
              <a:p>
                <a:pPr>
                  <a:defRPr/>
                </a:pPr>
                <a:r>
                  <a:rPr lang="en-US"/>
                  <a:t>Cost of Electricity (cents / kWh)</a:t>
                </a:r>
              </a:p>
            </c:rich>
          </c:tx>
          <c:overlay val="0"/>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8423552"/>
        <c:crosses val="autoZero"/>
        <c:crossBetween val="midCat"/>
      </c:valAx>
      <c:valAx>
        <c:axId val="58423552"/>
        <c:scaling>
          <c:orientation val="minMax"/>
          <c:max val="1"/>
          <c:min val="0"/>
        </c:scaling>
        <c:delete val="0"/>
        <c:axPos val="l"/>
        <c:majorGridlines>
          <c:spPr>
            <a:ln>
              <a:solidFill>
                <a:schemeClr val="bg1">
                  <a:lumMod val="85000"/>
                </a:schemeClr>
              </a:solidFill>
            </a:ln>
          </c:spPr>
        </c:majorGridlines>
        <c:title>
          <c:tx>
            <c:rich>
              <a:bodyPr rot="-5400000" vert="horz"/>
              <a:lstStyle/>
              <a:p>
                <a:pPr>
                  <a:defRPr/>
                </a:pPr>
                <a:r>
                  <a:rPr lang="en-US"/>
                  <a:t>Cumulative Probability</a:t>
                </a:r>
              </a:p>
            </c:rich>
          </c:tx>
          <c:layout>
            <c:manualLayout>
              <c:xMode val="edge"/>
              <c:yMode val="edge"/>
              <c:x val="1.4563033989683331E-2"/>
              <c:y val="0.26342025086060222"/>
            </c:manualLayout>
          </c:layout>
          <c:overlay val="0"/>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8421632"/>
        <c:crosses val="autoZero"/>
        <c:crossBetween val="midCat"/>
      </c:valAx>
      <c:spPr>
        <a:solidFill>
          <a:srgbClr val="FFFFFF"/>
        </a:solidFill>
        <a:ln w="3175">
          <a:solidFill>
            <a:srgbClr val="000000"/>
          </a:solidFill>
          <a:prstDash val="solid"/>
        </a:ln>
      </c:spPr>
    </c:plotArea>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Tables'!$A$92</c:f>
              <c:strCache>
                <c:ptCount val="1"/>
                <c:pt idx="0">
                  <c:v>Device</c:v>
                </c:pt>
              </c:strCache>
            </c:strRef>
          </c:tx>
          <c:invertIfNegative val="0"/>
          <c:cat>
            <c:numRef>
              <c:f>'Report Graphs'!$C$2:$E$2</c:f>
              <c:numCache>
                <c:formatCode>General</c:formatCode>
                <c:ptCount val="3"/>
                <c:pt idx="0">
                  <c:v>10</c:v>
                </c:pt>
                <c:pt idx="1">
                  <c:v>50</c:v>
                </c:pt>
                <c:pt idx="2">
                  <c:v>100</c:v>
                </c:pt>
              </c:numCache>
            </c:numRef>
          </c:cat>
          <c:val>
            <c:numRef>
              <c:f>('Report Tables'!$B$92,'Report Tables'!$D$92,'Report Tables'!$F$92)</c:f>
              <c:numCache>
                <c:formatCode>0.0</c:formatCode>
                <c:ptCount val="3"/>
                <c:pt idx="0">
                  <c:v>34.192098538894619</c:v>
                </c:pt>
                <c:pt idx="1">
                  <c:v>24.090152615161745</c:v>
                </c:pt>
                <c:pt idx="2">
                  <c:v>21.48606424388624</c:v>
                </c:pt>
              </c:numCache>
            </c:numRef>
          </c:val>
        </c:ser>
        <c:ser>
          <c:idx val="1"/>
          <c:order val="1"/>
          <c:tx>
            <c:strRef>
              <c:f>'Report Tables'!$A$93</c:f>
              <c:strCache>
                <c:ptCount val="1"/>
                <c:pt idx="0">
                  <c:v>Infrastructure</c:v>
                </c:pt>
              </c:strCache>
            </c:strRef>
          </c:tx>
          <c:invertIfNegative val="0"/>
          <c:cat>
            <c:numRef>
              <c:f>'Report Graphs'!$C$2:$E$2</c:f>
              <c:numCache>
                <c:formatCode>General</c:formatCode>
                <c:ptCount val="3"/>
                <c:pt idx="0">
                  <c:v>10</c:v>
                </c:pt>
                <c:pt idx="1">
                  <c:v>50</c:v>
                </c:pt>
                <c:pt idx="2">
                  <c:v>100</c:v>
                </c:pt>
              </c:numCache>
            </c:numRef>
          </c:cat>
          <c:val>
            <c:numRef>
              <c:f>('Report Tables'!$B$93,'Report Tables'!$D$93,'Report Tables'!$F$93)</c:f>
              <c:numCache>
                <c:formatCode>0.0</c:formatCode>
                <c:ptCount val="3"/>
                <c:pt idx="0">
                  <c:v>1.2051632659093878</c:v>
                </c:pt>
                <c:pt idx="1">
                  <c:v>0.79615685149728765</c:v>
                </c:pt>
                <c:pt idx="2">
                  <c:v>0.7699825560694934</c:v>
                </c:pt>
              </c:numCache>
            </c:numRef>
          </c:val>
        </c:ser>
        <c:ser>
          <c:idx val="3"/>
          <c:order val="2"/>
          <c:tx>
            <c:strRef>
              <c:f>'Report Tables'!$A$94</c:f>
              <c:strCache>
                <c:ptCount val="1"/>
                <c:pt idx="0">
                  <c:v>Development</c:v>
                </c:pt>
              </c:strCache>
            </c:strRef>
          </c:tx>
          <c:spPr>
            <a:solidFill>
              <a:srgbClr val="FFC000"/>
            </a:solidFill>
          </c:spPr>
          <c:invertIfNegative val="0"/>
          <c:cat>
            <c:numRef>
              <c:f>'Report Graphs'!$C$2:$E$2</c:f>
              <c:numCache>
                <c:formatCode>General</c:formatCode>
                <c:ptCount val="3"/>
                <c:pt idx="0">
                  <c:v>10</c:v>
                </c:pt>
                <c:pt idx="1">
                  <c:v>50</c:v>
                </c:pt>
                <c:pt idx="2">
                  <c:v>100</c:v>
                </c:pt>
              </c:numCache>
            </c:numRef>
          </c:cat>
          <c:val>
            <c:numRef>
              <c:f>('Report Tables'!$B$94,'Report Tables'!$D$94,'Report Tables'!$F$94)</c:f>
              <c:numCache>
                <c:formatCode>0.0</c:formatCode>
                <c:ptCount val="3"/>
                <c:pt idx="0">
                  <c:v>11.007116419310588</c:v>
                </c:pt>
                <c:pt idx="1">
                  <c:v>2.6810225669279513</c:v>
                </c:pt>
                <c:pt idx="2">
                  <c:v>1.4253360256407857</c:v>
                </c:pt>
              </c:numCache>
            </c:numRef>
          </c:val>
        </c:ser>
        <c:ser>
          <c:idx val="4"/>
          <c:order val="3"/>
          <c:tx>
            <c:strRef>
              <c:f>'Report Tables'!$A$95</c:f>
              <c:strCache>
                <c:ptCount val="1"/>
                <c:pt idx="0">
                  <c:v>Installation</c:v>
                </c:pt>
              </c:strCache>
            </c:strRef>
          </c:tx>
          <c:spPr>
            <a:solidFill>
              <a:srgbClr val="00B050"/>
            </a:solidFill>
          </c:spPr>
          <c:invertIfNegative val="0"/>
          <c:cat>
            <c:numRef>
              <c:f>'Report Graphs'!$C$2:$E$2</c:f>
              <c:numCache>
                <c:formatCode>General</c:formatCode>
                <c:ptCount val="3"/>
                <c:pt idx="0">
                  <c:v>10</c:v>
                </c:pt>
                <c:pt idx="1">
                  <c:v>50</c:v>
                </c:pt>
                <c:pt idx="2">
                  <c:v>100</c:v>
                </c:pt>
              </c:numCache>
            </c:numRef>
          </c:cat>
          <c:val>
            <c:numRef>
              <c:f>('Report Tables'!$B$95,'Report Tables'!$D$95,'Report Tables'!$F$95)</c:f>
              <c:numCache>
                <c:formatCode>0.0</c:formatCode>
                <c:ptCount val="3"/>
                <c:pt idx="0">
                  <c:v>3.8619754291241648</c:v>
                </c:pt>
                <c:pt idx="1">
                  <c:v>1.712934682702755</c:v>
                </c:pt>
                <c:pt idx="2">
                  <c:v>1.4829153930957668</c:v>
                </c:pt>
              </c:numCache>
            </c:numRef>
          </c:val>
        </c:ser>
        <c:ser>
          <c:idx val="5"/>
          <c:order val="4"/>
          <c:tx>
            <c:strRef>
              <c:f>'Report Tables'!$A$96</c:f>
              <c:strCache>
                <c:ptCount val="1"/>
                <c:pt idx="0">
                  <c:v>Contingency</c:v>
                </c:pt>
              </c:strCache>
            </c:strRef>
          </c:tx>
          <c:invertIfNegative val="0"/>
          <c:cat>
            <c:numRef>
              <c:f>'Report Graphs'!$C$2:$E$2</c:f>
              <c:numCache>
                <c:formatCode>General</c:formatCode>
                <c:ptCount val="3"/>
                <c:pt idx="0">
                  <c:v>10</c:v>
                </c:pt>
                <c:pt idx="1">
                  <c:v>50</c:v>
                </c:pt>
                <c:pt idx="2">
                  <c:v>100</c:v>
                </c:pt>
              </c:numCache>
            </c:numRef>
          </c:cat>
          <c:val>
            <c:numRef>
              <c:f>('Report Tables'!$B$96,'Report Tables'!$D$96,'Report Tables'!$F$96)</c:f>
              <c:numCache>
                <c:formatCode>0.0</c:formatCode>
                <c:ptCount val="3"/>
                <c:pt idx="0">
                  <c:v>5.0266353653238767</c:v>
                </c:pt>
                <c:pt idx="1">
                  <c:v>2.9280266716289733</c:v>
                </c:pt>
                <c:pt idx="2">
                  <c:v>2.5164298218692291</c:v>
                </c:pt>
              </c:numCache>
            </c:numRef>
          </c:val>
        </c:ser>
        <c:ser>
          <c:idx val="2"/>
          <c:order val="5"/>
          <c:tx>
            <c:strRef>
              <c:f>'Report Tables'!$A$97</c:f>
              <c:strCache>
                <c:ptCount val="1"/>
                <c:pt idx="0">
                  <c:v>Operation and Maintenance</c:v>
                </c:pt>
              </c:strCache>
            </c:strRef>
          </c:tx>
          <c:invertIfNegative val="0"/>
          <c:cat>
            <c:numRef>
              <c:f>'Report Graphs'!$C$2:$E$2</c:f>
              <c:numCache>
                <c:formatCode>General</c:formatCode>
                <c:ptCount val="3"/>
                <c:pt idx="0">
                  <c:v>10</c:v>
                </c:pt>
                <c:pt idx="1">
                  <c:v>50</c:v>
                </c:pt>
                <c:pt idx="2">
                  <c:v>100</c:v>
                </c:pt>
              </c:numCache>
            </c:numRef>
          </c:cat>
          <c:val>
            <c:numRef>
              <c:f>('Report Tables'!$B$97,'Report Tables'!$D$97,'Report Tables'!$F$97)</c:f>
              <c:numCache>
                <c:formatCode>0.0</c:formatCode>
                <c:ptCount val="3"/>
                <c:pt idx="0">
                  <c:v>24.983879372298702</c:v>
                </c:pt>
                <c:pt idx="1">
                  <c:v>11.011817475810991</c:v>
                </c:pt>
                <c:pt idx="2">
                  <c:v>8.3212184478515034</c:v>
                </c:pt>
              </c:numCache>
            </c:numRef>
          </c:val>
        </c:ser>
        <c:dLbls>
          <c:showLegendKey val="0"/>
          <c:showVal val="0"/>
          <c:showCatName val="0"/>
          <c:showSerName val="0"/>
          <c:showPercent val="0"/>
          <c:showBubbleSize val="0"/>
        </c:dLbls>
        <c:gapWidth val="150"/>
        <c:overlap val="100"/>
        <c:axId val="58673024"/>
        <c:axId val="58683392"/>
      </c:barChart>
      <c:catAx>
        <c:axId val="58673024"/>
        <c:scaling>
          <c:orientation val="minMax"/>
        </c:scaling>
        <c:delete val="0"/>
        <c:axPos val="b"/>
        <c:majorGridlines>
          <c:spPr>
            <a:ln>
              <a:solidFill>
                <a:schemeClr val="bg1">
                  <a:lumMod val="85000"/>
                </a:schemeClr>
              </a:solidFill>
            </a:ln>
          </c:spPr>
        </c:majorGridlines>
        <c:title>
          <c:tx>
            <c:rich>
              <a:bodyPr/>
              <a:lstStyle/>
              <a:p>
                <a:pPr>
                  <a:defRPr/>
                </a:pPr>
                <a:r>
                  <a:rPr lang="en-US" baseline="0"/>
                  <a:t># of Units</a:t>
                </a:r>
              </a:p>
            </c:rich>
          </c:tx>
          <c:layout>
            <c:manualLayout>
              <c:xMode val="edge"/>
              <c:yMode val="edge"/>
              <c:x val="0.38175822733534709"/>
              <c:y val="0.9177864792344026"/>
            </c:manualLayout>
          </c:layout>
          <c:overlay val="0"/>
        </c:title>
        <c:numFmt formatCode="0" sourceLinked="0"/>
        <c:majorTickMark val="out"/>
        <c:minorTickMark val="none"/>
        <c:tickLblPos val="nextTo"/>
        <c:crossAx val="58683392"/>
        <c:crosses val="autoZero"/>
        <c:auto val="1"/>
        <c:lblAlgn val="ctr"/>
        <c:lblOffset val="100"/>
        <c:noMultiLvlLbl val="0"/>
      </c:catAx>
      <c:valAx>
        <c:axId val="58683392"/>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LCoE (cents/kWh)</a:t>
                </a:r>
              </a:p>
            </c:rich>
          </c:tx>
          <c:layout>
            <c:manualLayout>
              <c:xMode val="edge"/>
              <c:yMode val="edge"/>
              <c:x val="9.1848450057405284E-3"/>
              <c:y val="0.31372635021380851"/>
            </c:manualLayout>
          </c:layout>
          <c:overlay val="0"/>
        </c:title>
        <c:numFmt formatCode="0.0" sourceLinked="1"/>
        <c:majorTickMark val="out"/>
        <c:minorTickMark val="none"/>
        <c:tickLblPos val="nextTo"/>
        <c:crossAx val="58673024"/>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35475356927579"/>
          <c:y val="2.6045056939967181E-2"/>
          <c:w val="0.8125597470708491"/>
          <c:h val="0.86544280032480125"/>
        </c:manualLayout>
      </c:layout>
      <c:scatterChart>
        <c:scatterStyle val="smoothMarker"/>
        <c:varyColors val="0"/>
        <c:ser>
          <c:idx val="0"/>
          <c:order val="0"/>
          <c:tx>
            <c:v>P fluid</c:v>
          </c:tx>
          <c:xVal>
            <c:numRef>
              <c:f>'Performance &amp; Economics'!$H$26:$H$53</c:f>
              <c:numCache>
                <c:formatCode>0.00</c:formatCode>
                <c:ptCount val="28"/>
                <c:pt idx="0">
                  <c:v>0</c:v>
                </c:pt>
                <c:pt idx="1">
                  <c:v>0</c:v>
                </c:pt>
                <c:pt idx="2">
                  <c:v>0.1627402141271711</c:v>
                </c:pt>
                <c:pt idx="3">
                  <c:v>0.25708304679480537</c:v>
                </c:pt>
                <c:pt idx="4">
                  <c:v>0.35283924643118181</c:v>
                </c:pt>
                <c:pt idx="5">
                  <c:v>0.44938169946449963</c:v>
                </c:pt>
                <c:pt idx="6">
                  <c:v>0.54640333850737499</c:v>
                </c:pt>
                <c:pt idx="7">
                  <c:v>0.64404541531055681</c:v>
                </c:pt>
                <c:pt idx="8">
                  <c:v>0.74152450317739227</c:v>
                </c:pt>
                <c:pt idx="9">
                  <c:v>0.83912113663773547</c:v>
                </c:pt>
                <c:pt idx="10">
                  <c:v>0.93682525335985289</c:v>
                </c:pt>
                <c:pt idx="11">
                  <c:v>1.0346265783404356</c:v>
                </c:pt>
                <c:pt idx="12">
                  <c:v>1.1325156444604334</c:v>
                </c:pt>
                <c:pt idx="13">
                  <c:v>1.2304840457124593</c:v>
                </c:pt>
                <c:pt idx="14">
                  <c:v>1.328524420829166</c:v>
                </c:pt>
                <c:pt idx="15">
                  <c:v>1.4266303491599421</c:v>
                </c:pt>
                <c:pt idx="16">
                  <c:v>1.5247962271692796</c:v>
                </c:pt>
                <c:pt idx="17">
                  <c:v>1.6230171506729674</c:v>
                </c:pt>
                <c:pt idx="18">
                  <c:v>1.7212888109024083</c:v>
                </c:pt>
                <c:pt idx="19">
                  <c:v>1.8196074057896643</c:v>
                </c:pt>
                <c:pt idx="20">
                  <c:v>1.9179695653697151</c:v>
                </c:pt>
                <c:pt idx="21">
                  <c:v>2.0163722894274434</c:v>
                </c:pt>
                <c:pt idx="22">
                  <c:v>2.1148128954430097</c:v>
                </c:pt>
                <c:pt idx="23">
                  <c:v>2.2132889750731408</c:v>
                </c:pt>
                <c:pt idx="24">
                  <c:v>2.3117983576628696</c:v>
                </c:pt>
                <c:pt idx="25">
                  <c:v>2.4103390795375828</c:v>
                </c:pt>
                <c:pt idx="26">
                  <c:v>2.5089093580516719</c:v>
                </c:pt>
                <c:pt idx="27">
                  <c:v>2.6075075695608594</c:v>
                </c:pt>
              </c:numCache>
            </c:numRef>
          </c:xVal>
          <c:yVal>
            <c:numRef>
              <c:f>'Performance &amp; Economics'!$K$26:$K$53</c:f>
              <c:numCache>
                <c:formatCode>#,##0</c:formatCode>
                <c:ptCount val="28"/>
                <c:pt idx="0">
                  <c:v>0</c:v>
                </c:pt>
                <c:pt idx="1">
                  <c:v>0</c:v>
                </c:pt>
                <c:pt idx="2">
                  <c:v>0</c:v>
                </c:pt>
                <c:pt idx="3">
                  <c:v>0</c:v>
                </c:pt>
                <c:pt idx="4">
                  <c:v>1.3713102869268774</c:v>
                </c:pt>
                <c:pt idx="5">
                  <c:v>2.8330303247331012</c:v>
                </c:pt>
                <c:pt idx="6">
                  <c:v>5.0926650007081138</c:v>
                </c:pt>
                <c:pt idx="7">
                  <c:v>8.3397792521163403</c:v>
                </c:pt>
                <c:pt idx="8">
                  <c:v>12.728628051978212</c:v>
                </c:pt>
                <c:pt idx="9">
                  <c:v>18.445016935766574</c:v>
                </c:pt>
                <c:pt idx="10">
                  <c:v>25.667338841836532</c:v>
                </c:pt>
                <c:pt idx="11">
                  <c:v>34.574504793087783</c:v>
                </c:pt>
                <c:pt idx="12">
                  <c:v>45.345866630807294</c:v>
                </c:pt>
                <c:pt idx="13">
                  <c:v>58.161157018695384</c:v>
                </c:pt>
                <c:pt idx="14">
                  <c:v>73.200441799052527</c:v>
                </c:pt>
                <c:pt idx="15">
                  <c:v>90.644081432737124</c:v>
                </c:pt>
                <c:pt idx="16">
                  <c:v>110.67269928176245</c:v>
                </c:pt>
                <c:pt idx="17">
                  <c:v>133.46715515443805</c:v>
                </c:pt>
                <c:pt idx="18">
                  <c:v>159.20852297145728</c:v>
                </c:pt>
                <c:pt idx="19">
                  <c:v>188.07807171024697</c:v>
                </c:pt>
                <c:pt idx="20">
                  <c:v>220.25724899367134</c:v>
                </c:pt>
                <c:pt idx="21">
                  <c:v>255.92766683817123</c:v>
                </c:pt>
                <c:pt idx="22">
                  <c:v>295.27108918481821</c:v>
                </c:pt>
                <c:pt idx="23">
                  <c:v>338.46942091699691</c:v>
                </c:pt>
                <c:pt idx="24">
                  <c:v>385.70469812873705</c:v>
                </c:pt>
                <c:pt idx="25">
                  <c:v>437.15907945369503</c:v>
                </c:pt>
                <c:pt idx="26">
                  <c:v>493.01483830028513</c:v>
                </c:pt>
                <c:pt idx="27">
                  <c:v>553.4543558661818</c:v>
                </c:pt>
              </c:numCache>
            </c:numRef>
          </c:yVal>
          <c:smooth val="1"/>
        </c:ser>
        <c:ser>
          <c:idx val="1"/>
          <c:order val="1"/>
          <c:tx>
            <c:v>P rotor</c:v>
          </c:tx>
          <c:marker>
            <c:symbol val="square"/>
            <c:size val="7"/>
          </c:marker>
          <c:xVal>
            <c:numRef>
              <c:f>'Performance &amp; Economics'!$H$26:$H$53</c:f>
              <c:numCache>
                <c:formatCode>0.00</c:formatCode>
                <c:ptCount val="28"/>
                <c:pt idx="0">
                  <c:v>0</c:v>
                </c:pt>
                <c:pt idx="1">
                  <c:v>0</c:v>
                </c:pt>
                <c:pt idx="2">
                  <c:v>0.1627402141271711</c:v>
                </c:pt>
                <c:pt idx="3">
                  <c:v>0.25708304679480537</c:v>
                </c:pt>
                <c:pt idx="4">
                  <c:v>0.35283924643118181</c:v>
                </c:pt>
                <c:pt idx="5">
                  <c:v>0.44938169946449963</c:v>
                </c:pt>
                <c:pt idx="6">
                  <c:v>0.54640333850737499</c:v>
                </c:pt>
                <c:pt idx="7">
                  <c:v>0.64404541531055681</c:v>
                </c:pt>
                <c:pt idx="8">
                  <c:v>0.74152450317739227</c:v>
                </c:pt>
                <c:pt idx="9">
                  <c:v>0.83912113663773547</c:v>
                </c:pt>
                <c:pt idx="10">
                  <c:v>0.93682525335985289</c:v>
                </c:pt>
                <c:pt idx="11">
                  <c:v>1.0346265783404356</c:v>
                </c:pt>
                <c:pt idx="12">
                  <c:v>1.1325156444604334</c:v>
                </c:pt>
                <c:pt idx="13">
                  <c:v>1.2304840457124593</c:v>
                </c:pt>
                <c:pt idx="14">
                  <c:v>1.328524420829166</c:v>
                </c:pt>
                <c:pt idx="15">
                  <c:v>1.4266303491599421</c:v>
                </c:pt>
                <c:pt idx="16">
                  <c:v>1.5247962271692796</c:v>
                </c:pt>
                <c:pt idx="17">
                  <c:v>1.6230171506729674</c:v>
                </c:pt>
                <c:pt idx="18">
                  <c:v>1.7212888109024083</c:v>
                </c:pt>
                <c:pt idx="19">
                  <c:v>1.8196074057896643</c:v>
                </c:pt>
                <c:pt idx="20">
                  <c:v>1.9179695653697151</c:v>
                </c:pt>
                <c:pt idx="21">
                  <c:v>2.0163722894274434</c:v>
                </c:pt>
                <c:pt idx="22">
                  <c:v>2.1148128954430097</c:v>
                </c:pt>
                <c:pt idx="23">
                  <c:v>2.2132889750731408</c:v>
                </c:pt>
                <c:pt idx="24">
                  <c:v>2.3117983576628696</c:v>
                </c:pt>
                <c:pt idx="25">
                  <c:v>2.4103390795375828</c:v>
                </c:pt>
                <c:pt idx="26">
                  <c:v>2.5089093580516719</c:v>
                </c:pt>
                <c:pt idx="27">
                  <c:v>2.6075075695608594</c:v>
                </c:pt>
              </c:numCache>
            </c:numRef>
          </c:xVal>
          <c:yVal>
            <c:numRef>
              <c:f>'Performance &amp; Economics'!$L$26:$L$53</c:f>
              <c:numCache>
                <c:formatCode>#,##0</c:formatCode>
                <c:ptCount val="28"/>
                <c:pt idx="0">
                  <c:v>0</c:v>
                </c:pt>
                <c:pt idx="1">
                  <c:v>0</c:v>
                </c:pt>
                <c:pt idx="2">
                  <c:v>0</c:v>
                </c:pt>
                <c:pt idx="3">
                  <c:v>0</c:v>
                </c:pt>
                <c:pt idx="4">
                  <c:v>0</c:v>
                </c:pt>
                <c:pt idx="5">
                  <c:v>0</c:v>
                </c:pt>
                <c:pt idx="6">
                  <c:v>0</c:v>
                </c:pt>
                <c:pt idx="7">
                  <c:v>3.8</c:v>
                </c:pt>
                <c:pt idx="8">
                  <c:v>5.8</c:v>
                </c:pt>
                <c:pt idx="9">
                  <c:v>8.6</c:v>
                </c:pt>
                <c:pt idx="10">
                  <c:v>12</c:v>
                </c:pt>
                <c:pt idx="11">
                  <c:v>16.399999999999999</c:v>
                </c:pt>
                <c:pt idx="12">
                  <c:v>21.6</c:v>
                </c:pt>
                <c:pt idx="13">
                  <c:v>27.8</c:v>
                </c:pt>
                <c:pt idx="14">
                  <c:v>35.200000000000003</c:v>
                </c:pt>
                <c:pt idx="15">
                  <c:v>43.8</c:v>
                </c:pt>
                <c:pt idx="16">
                  <c:v>53</c:v>
                </c:pt>
                <c:pt idx="17">
                  <c:v>61.4</c:v>
                </c:pt>
                <c:pt idx="18">
                  <c:v>69.599999999999994</c:v>
                </c:pt>
                <c:pt idx="19">
                  <c:v>79.400000000000006</c:v>
                </c:pt>
                <c:pt idx="20">
                  <c:v>89.2</c:v>
                </c:pt>
                <c:pt idx="21">
                  <c:v>98</c:v>
                </c:pt>
                <c:pt idx="22">
                  <c:v>102.4</c:v>
                </c:pt>
                <c:pt idx="23">
                  <c:v>102.8</c:v>
                </c:pt>
                <c:pt idx="24">
                  <c:v>103.6</c:v>
                </c:pt>
                <c:pt idx="25">
                  <c:v>102.8</c:v>
                </c:pt>
                <c:pt idx="26">
                  <c:v>102</c:v>
                </c:pt>
                <c:pt idx="27">
                  <c:v>101.6</c:v>
                </c:pt>
              </c:numCache>
            </c:numRef>
          </c:yVal>
          <c:smooth val="1"/>
        </c:ser>
        <c:ser>
          <c:idx val="2"/>
          <c:order val="2"/>
          <c:tx>
            <c:v>P electric</c:v>
          </c:tx>
          <c:xVal>
            <c:numRef>
              <c:f>'Performance &amp; Economics'!$H$26:$H$53</c:f>
              <c:numCache>
                <c:formatCode>0.00</c:formatCode>
                <c:ptCount val="28"/>
                <c:pt idx="0">
                  <c:v>0</c:v>
                </c:pt>
                <c:pt idx="1">
                  <c:v>0</c:v>
                </c:pt>
                <c:pt idx="2">
                  <c:v>0.1627402141271711</c:v>
                </c:pt>
                <c:pt idx="3">
                  <c:v>0.25708304679480537</c:v>
                </c:pt>
                <c:pt idx="4">
                  <c:v>0.35283924643118181</c:v>
                </c:pt>
                <c:pt idx="5">
                  <c:v>0.44938169946449963</c:v>
                </c:pt>
                <c:pt idx="6">
                  <c:v>0.54640333850737499</c:v>
                </c:pt>
                <c:pt idx="7">
                  <c:v>0.64404541531055681</c:v>
                </c:pt>
                <c:pt idx="8">
                  <c:v>0.74152450317739227</c:v>
                </c:pt>
                <c:pt idx="9">
                  <c:v>0.83912113663773547</c:v>
                </c:pt>
                <c:pt idx="10">
                  <c:v>0.93682525335985289</c:v>
                </c:pt>
                <c:pt idx="11">
                  <c:v>1.0346265783404356</c:v>
                </c:pt>
                <c:pt idx="12">
                  <c:v>1.1325156444604334</c:v>
                </c:pt>
                <c:pt idx="13">
                  <c:v>1.2304840457124593</c:v>
                </c:pt>
                <c:pt idx="14">
                  <c:v>1.328524420829166</c:v>
                </c:pt>
                <c:pt idx="15">
                  <c:v>1.4266303491599421</c:v>
                </c:pt>
                <c:pt idx="16">
                  <c:v>1.5247962271692796</c:v>
                </c:pt>
                <c:pt idx="17">
                  <c:v>1.6230171506729674</c:v>
                </c:pt>
                <c:pt idx="18">
                  <c:v>1.7212888109024083</c:v>
                </c:pt>
                <c:pt idx="19">
                  <c:v>1.8196074057896643</c:v>
                </c:pt>
                <c:pt idx="20">
                  <c:v>1.9179695653697151</c:v>
                </c:pt>
                <c:pt idx="21">
                  <c:v>2.0163722894274434</c:v>
                </c:pt>
                <c:pt idx="22">
                  <c:v>2.1148128954430097</c:v>
                </c:pt>
                <c:pt idx="23">
                  <c:v>2.2132889750731408</c:v>
                </c:pt>
                <c:pt idx="24">
                  <c:v>2.3117983576628696</c:v>
                </c:pt>
                <c:pt idx="25">
                  <c:v>2.4103390795375828</c:v>
                </c:pt>
                <c:pt idx="26">
                  <c:v>2.5089093580516719</c:v>
                </c:pt>
                <c:pt idx="27">
                  <c:v>2.6075075695608594</c:v>
                </c:pt>
              </c:numCache>
            </c:numRef>
          </c:xVal>
          <c:yVal>
            <c:numRef>
              <c:f>'Performance &amp; Economics'!$M$26:$M$53</c:f>
              <c:numCache>
                <c:formatCode>#,##0</c:formatCode>
                <c:ptCount val="28"/>
                <c:pt idx="0">
                  <c:v>0</c:v>
                </c:pt>
                <c:pt idx="1">
                  <c:v>0</c:v>
                </c:pt>
                <c:pt idx="2">
                  <c:v>0</c:v>
                </c:pt>
                <c:pt idx="3">
                  <c:v>0</c:v>
                </c:pt>
                <c:pt idx="4">
                  <c:v>0</c:v>
                </c:pt>
                <c:pt idx="5">
                  <c:v>0</c:v>
                </c:pt>
                <c:pt idx="6">
                  <c:v>0</c:v>
                </c:pt>
                <c:pt idx="7">
                  <c:v>2.9570330495999997</c:v>
                </c:pt>
                <c:pt idx="8">
                  <c:v>4.5133662336000002</c:v>
                </c:pt>
                <c:pt idx="9">
                  <c:v>6.6922326911999992</c:v>
                </c:pt>
                <c:pt idx="10">
                  <c:v>9.3379991039999997</c:v>
                </c:pt>
                <c:pt idx="11">
                  <c:v>12.761932108799998</c:v>
                </c:pt>
                <c:pt idx="12">
                  <c:v>16.808398387199997</c:v>
                </c:pt>
                <c:pt idx="13">
                  <c:v>21.633031257599995</c:v>
                </c:pt>
                <c:pt idx="14">
                  <c:v>27.391464038399999</c:v>
                </c:pt>
                <c:pt idx="15">
                  <c:v>34.083696729599993</c:v>
                </c:pt>
                <c:pt idx="16">
                  <c:v>41.242829375999996</c:v>
                </c:pt>
                <c:pt idx="17">
                  <c:v>47.779428748799994</c:v>
                </c:pt>
                <c:pt idx="18">
                  <c:v>54.160394803199992</c:v>
                </c:pt>
                <c:pt idx="19">
                  <c:v>61.786427404799994</c:v>
                </c:pt>
                <c:pt idx="20">
                  <c:v>69.412460006399996</c:v>
                </c:pt>
                <c:pt idx="21">
                  <c:v>76.260326015999993</c:v>
                </c:pt>
                <c:pt idx="22">
                  <c:v>79.684259020799985</c:v>
                </c:pt>
                <c:pt idx="23">
                  <c:v>79.995525657599984</c:v>
                </c:pt>
                <c:pt idx="24">
                  <c:v>80.618058931199982</c:v>
                </c:pt>
                <c:pt idx="25">
                  <c:v>79.995525657599984</c:v>
                </c:pt>
                <c:pt idx="26">
                  <c:v>79.372992383999986</c:v>
                </c:pt>
                <c:pt idx="27">
                  <c:v>79.061725747199986</c:v>
                </c:pt>
              </c:numCache>
            </c:numRef>
          </c:yVal>
          <c:smooth val="1"/>
        </c:ser>
        <c:dLbls>
          <c:showLegendKey val="0"/>
          <c:showVal val="0"/>
          <c:showCatName val="0"/>
          <c:showSerName val="0"/>
          <c:showPercent val="0"/>
          <c:showBubbleSize val="0"/>
        </c:dLbls>
        <c:axId val="58824960"/>
        <c:axId val="58827136"/>
      </c:scatterChart>
      <c:valAx>
        <c:axId val="58824960"/>
        <c:scaling>
          <c:orientation val="minMax"/>
          <c:max val="3.2"/>
          <c:min val="0"/>
        </c:scaling>
        <c:delete val="0"/>
        <c:axPos val="b"/>
        <c:majorGridlines/>
        <c:title>
          <c:tx>
            <c:rich>
              <a:bodyPr/>
              <a:lstStyle/>
              <a:p>
                <a:pPr>
                  <a:defRPr/>
                </a:pPr>
                <a:r>
                  <a:rPr lang="en-US"/>
                  <a:t>Fluid Velocity (m/s)</a:t>
                </a:r>
              </a:p>
            </c:rich>
          </c:tx>
          <c:overlay val="0"/>
        </c:title>
        <c:numFmt formatCode="0.00" sourceLinked="1"/>
        <c:majorTickMark val="out"/>
        <c:minorTickMark val="none"/>
        <c:tickLblPos val="nextTo"/>
        <c:crossAx val="58827136"/>
        <c:crosses val="autoZero"/>
        <c:crossBetween val="midCat"/>
      </c:valAx>
      <c:valAx>
        <c:axId val="58827136"/>
        <c:scaling>
          <c:orientation val="minMax"/>
          <c:min val="0"/>
        </c:scaling>
        <c:delete val="0"/>
        <c:axPos val="l"/>
        <c:majorGridlines/>
        <c:title>
          <c:tx>
            <c:rich>
              <a:bodyPr rot="-5400000" vert="horz"/>
              <a:lstStyle/>
              <a:p>
                <a:pPr>
                  <a:defRPr/>
                </a:pPr>
                <a:r>
                  <a:rPr lang="en-US"/>
                  <a:t>Power (kW)</a:t>
                </a:r>
              </a:p>
            </c:rich>
          </c:tx>
          <c:overlay val="0"/>
        </c:title>
        <c:numFmt formatCode="#,##0" sourceLinked="1"/>
        <c:majorTickMark val="out"/>
        <c:minorTickMark val="none"/>
        <c:tickLblPos val="nextTo"/>
        <c:crossAx val="58824960"/>
        <c:crosses val="autoZero"/>
        <c:crossBetween val="midCat"/>
      </c:valAx>
    </c:plotArea>
    <c:legend>
      <c:legendPos val="r"/>
      <c:layout>
        <c:manualLayout>
          <c:xMode val="edge"/>
          <c:yMode val="edge"/>
          <c:x val="0.12150102156276672"/>
          <c:y val="4.1228964980809697E-2"/>
          <c:w val="0.20315211871477473"/>
          <c:h val="0.12726043874769755"/>
        </c:manualLayout>
      </c:layout>
      <c:overlay val="0"/>
      <c:spPr>
        <a:solidFill>
          <a:schemeClr val="bg1"/>
        </a:solidFill>
      </c:sp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Tables'!$A$7</c:f>
              <c:strCache>
                <c:ptCount val="1"/>
                <c:pt idx="0">
                  <c:v>Development</c:v>
                </c:pt>
              </c:strCache>
            </c:strRef>
          </c:tx>
          <c:invertIfNegative val="0"/>
          <c:cat>
            <c:numRef>
              <c:f>'Report Graphs'!$B$2:$E$2</c:f>
              <c:numCache>
                <c:formatCode>General</c:formatCode>
                <c:ptCount val="4"/>
                <c:pt idx="0">
                  <c:v>1</c:v>
                </c:pt>
                <c:pt idx="1">
                  <c:v>10</c:v>
                </c:pt>
                <c:pt idx="2">
                  <c:v>50</c:v>
                </c:pt>
                <c:pt idx="3">
                  <c:v>100</c:v>
                </c:pt>
              </c:numCache>
            </c:numRef>
          </c:cat>
          <c:val>
            <c:numRef>
              <c:f>'Report Tables'!$B$22:$E$22</c:f>
              <c:numCache>
                <c:formatCode>"$"#,##0</c:formatCode>
                <c:ptCount val="4"/>
                <c:pt idx="0">
                  <c:v>10520</c:v>
                </c:pt>
                <c:pt idx="1">
                  <c:v>2230</c:v>
                </c:pt>
                <c:pt idx="2">
                  <c:v>540</c:v>
                </c:pt>
                <c:pt idx="3">
                  <c:v>290</c:v>
                </c:pt>
              </c:numCache>
            </c:numRef>
          </c:val>
        </c:ser>
        <c:ser>
          <c:idx val="1"/>
          <c:order val="1"/>
          <c:tx>
            <c:strRef>
              <c:f>'Report Tables'!$A$8</c:f>
              <c:strCache>
                <c:ptCount val="1"/>
                <c:pt idx="0">
                  <c:v>Infrastructure</c:v>
                </c:pt>
              </c:strCache>
            </c:strRef>
          </c:tx>
          <c:invertIfNegative val="0"/>
          <c:cat>
            <c:numRef>
              <c:f>'Report Graphs'!$B$2:$E$2</c:f>
              <c:numCache>
                <c:formatCode>General</c:formatCode>
                <c:ptCount val="4"/>
                <c:pt idx="0">
                  <c:v>1</c:v>
                </c:pt>
                <c:pt idx="1">
                  <c:v>10</c:v>
                </c:pt>
                <c:pt idx="2">
                  <c:v>50</c:v>
                </c:pt>
                <c:pt idx="3">
                  <c:v>100</c:v>
                </c:pt>
              </c:numCache>
            </c:numRef>
          </c:cat>
          <c:val>
            <c:numRef>
              <c:f>'Report Tables'!$B$23:$E$23</c:f>
              <c:numCache>
                <c:formatCode>"$"#,##0</c:formatCode>
                <c:ptCount val="4"/>
                <c:pt idx="0">
                  <c:v>1650</c:v>
                </c:pt>
                <c:pt idx="1">
                  <c:v>240</c:v>
                </c:pt>
                <c:pt idx="2">
                  <c:v>160</c:v>
                </c:pt>
                <c:pt idx="3">
                  <c:v>160</c:v>
                </c:pt>
              </c:numCache>
            </c:numRef>
          </c:val>
        </c:ser>
        <c:ser>
          <c:idx val="3"/>
          <c:order val="2"/>
          <c:tx>
            <c:strRef>
              <c:f>'Report Tables'!$A$9</c:f>
              <c:strCache>
                <c:ptCount val="1"/>
                <c:pt idx="0">
                  <c:v>Mooring/Foundation</c:v>
                </c:pt>
              </c:strCache>
            </c:strRef>
          </c:tx>
          <c:spPr>
            <a:solidFill>
              <a:srgbClr val="FFC000"/>
            </a:solidFill>
          </c:spPr>
          <c:invertIfNegative val="0"/>
          <c:cat>
            <c:numRef>
              <c:f>'Report Graphs'!$B$2:$E$2</c:f>
              <c:numCache>
                <c:formatCode>General</c:formatCode>
                <c:ptCount val="4"/>
                <c:pt idx="0">
                  <c:v>1</c:v>
                </c:pt>
                <c:pt idx="1">
                  <c:v>10</c:v>
                </c:pt>
                <c:pt idx="2">
                  <c:v>50</c:v>
                </c:pt>
                <c:pt idx="3">
                  <c:v>100</c:v>
                </c:pt>
              </c:numCache>
            </c:numRef>
          </c:cat>
          <c:val>
            <c:numRef>
              <c:f>'Report Tables'!$B$24:$E$24</c:f>
              <c:numCache>
                <c:formatCode>"$"#,##0</c:formatCode>
                <c:ptCount val="4"/>
                <c:pt idx="0">
                  <c:v>240</c:v>
                </c:pt>
                <c:pt idx="1">
                  <c:v>240</c:v>
                </c:pt>
                <c:pt idx="2">
                  <c:v>240</c:v>
                </c:pt>
                <c:pt idx="3">
                  <c:v>240</c:v>
                </c:pt>
              </c:numCache>
            </c:numRef>
          </c:val>
        </c:ser>
        <c:ser>
          <c:idx val="4"/>
          <c:order val="3"/>
          <c:tx>
            <c:strRef>
              <c:f>'Report Tables'!$A$10</c:f>
              <c:strCache>
                <c:ptCount val="1"/>
                <c:pt idx="0">
                  <c:v>Device Structural Components</c:v>
                </c:pt>
              </c:strCache>
            </c:strRef>
          </c:tx>
          <c:spPr>
            <a:solidFill>
              <a:srgbClr val="00B050"/>
            </a:solidFill>
          </c:spPr>
          <c:invertIfNegative val="0"/>
          <c:cat>
            <c:numRef>
              <c:f>'Report Graphs'!$B$2:$E$2</c:f>
              <c:numCache>
                <c:formatCode>General</c:formatCode>
                <c:ptCount val="4"/>
                <c:pt idx="0">
                  <c:v>1</c:v>
                </c:pt>
                <c:pt idx="1">
                  <c:v>10</c:v>
                </c:pt>
                <c:pt idx="2">
                  <c:v>50</c:v>
                </c:pt>
                <c:pt idx="3">
                  <c:v>100</c:v>
                </c:pt>
              </c:numCache>
            </c:numRef>
          </c:cat>
          <c:val>
            <c:numRef>
              <c:f>'Report Tables'!$B$25:$E$25</c:f>
              <c:numCache>
                <c:formatCode>"$"#,##0</c:formatCode>
                <c:ptCount val="4"/>
                <c:pt idx="0">
                  <c:v>3300</c:v>
                </c:pt>
                <c:pt idx="1">
                  <c:v>2320</c:v>
                </c:pt>
                <c:pt idx="2">
                  <c:v>2030</c:v>
                </c:pt>
                <c:pt idx="3">
                  <c:v>1970</c:v>
                </c:pt>
              </c:numCache>
            </c:numRef>
          </c:val>
        </c:ser>
        <c:ser>
          <c:idx val="5"/>
          <c:order val="4"/>
          <c:tx>
            <c:strRef>
              <c:f>'Report Tables'!$A$11</c:f>
              <c:strCache>
                <c:ptCount val="1"/>
                <c:pt idx="0">
                  <c:v>Power Take Off</c:v>
                </c:pt>
              </c:strCache>
            </c:strRef>
          </c:tx>
          <c:invertIfNegative val="0"/>
          <c:cat>
            <c:numRef>
              <c:f>'Report Graphs'!$B$2:$E$2</c:f>
              <c:numCache>
                <c:formatCode>General</c:formatCode>
                <c:ptCount val="4"/>
                <c:pt idx="0">
                  <c:v>1</c:v>
                </c:pt>
                <c:pt idx="1">
                  <c:v>10</c:v>
                </c:pt>
                <c:pt idx="2">
                  <c:v>50</c:v>
                </c:pt>
                <c:pt idx="3">
                  <c:v>100</c:v>
                </c:pt>
              </c:numCache>
            </c:numRef>
          </c:cat>
          <c:val>
            <c:numRef>
              <c:f>'Report Tables'!$B$26:$E$26</c:f>
              <c:numCache>
                <c:formatCode>"$"#,##0</c:formatCode>
                <c:ptCount val="4"/>
                <c:pt idx="0">
                  <c:v>9470</c:v>
                </c:pt>
                <c:pt idx="1">
                  <c:v>3770</c:v>
                </c:pt>
                <c:pt idx="2">
                  <c:v>2190</c:v>
                </c:pt>
                <c:pt idx="3">
                  <c:v>1770</c:v>
                </c:pt>
              </c:numCache>
            </c:numRef>
          </c:val>
        </c:ser>
        <c:ser>
          <c:idx val="2"/>
          <c:order val="5"/>
          <c:tx>
            <c:strRef>
              <c:f>'Report Tables'!$A$12</c:f>
              <c:strCache>
                <c:ptCount val="1"/>
                <c:pt idx="0">
                  <c:v>Subsystem Integration &amp; Profit Margin</c:v>
                </c:pt>
              </c:strCache>
            </c:strRef>
          </c:tx>
          <c:invertIfNegative val="0"/>
          <c:cat>
            <c:numRef>
              <c:f>'Report Graphs'!$B$2:$E$2</c:f>
              <c:numCache>
                <c:formatCode>General</c:formatCode>
                <c:ptCount val="4"/>
                <c:pt idx="0">
                  <c:v>1</c:v>
                </c:pt>
                <c:pt idx="1">
                  <c:v>10</c:v>
                </c:pt>
                <c:pt idx="2">
                  <c:v>50</c:v>
                </c:pt>
                <c:pt idx="3">
                  <c:v>100</c:v>
                </c:pt>
              </c:numCache>
            </c:numRef>
          </c:cat>
          <c:val>
            <c:numRef>
              <c:f>'Report Tables'!$B$27:$E$27</c:f>
              <c:numCache>
                <c:formatCode>"$"#,##0</c:formatCode>
                <c:ptCount val="4"/>
                <c:pt idx="0">
                  <c:v>1280</c:v>
                </c:pt>
                <c:pt idx="1">
                  <c:v>610</c:v>
                </c:pt>
                <c:pt idx="2">
                  <c:v>420</c:v>
                </c:pt>
                <c:pt idx="3">
                  <c:v>370</c:v>
                </c:pt>
              </c:numCache>
            </c:numRef>
          </c:val>
        </c:ser>
        <c:ser>
          <c:idx val="6"/>
          <c:order val="6"/>
          <c:tx>
            <c:strRef>
              <c:f>'Report Tables'!$A$13</c:f>
              <c:strCache>
                <c:ptCount val="1"/>
                <c:pt idx="0">
                  <c:v>Installation</c:v>
                </c:pt>
              </c:strCache>
            </c:strRef>
          </c:tx>
          <c:invertIfNegative val="0"/>
          <c:cat>
            <c:numRef>
              <c:f>'Report Graphs'!$B$2:$E$2</c:f>
              <c:numCache>
                <c:formatCode>General</c:formatCode>
                <c:ptCount val="4"/>
                <c:pt idx="0">
                  <c:v>1</c:v>
                </c:pt>
                <c:pt idx="1">
                  <c:v>10</c:v>
                </c:pt>
                <c:pt idx="2">
                  <c:v>50</c:v>
                </c:pt>
                <c:pt idx="3">
                  <c:v>100</c:v>
                </c:pt>
              </c:numCache>
            </c:numRef>
          </c:cat>
          <c:val>
            <c:numRef>
              <c:f>'Report Tables'!$B$28:$E$28</c:f>
              <c:numCache>
                <c:formatCode>"$"#,##0</c:formatCode>
                <c:ptCount val="4"/>
                <c:pt idx="0">
                  <c:v>5920</c:v>
                </c:pt>
                <c:pt idx="1">
                  <c:v>780</c:v>
                </c:pt>
                <c:pt idx="2">
                  <c:v>350</c:v>
                </c:pt>
                <c:pt idx="3">
                  <c:v>300</c:v>
                </c:pt>
              </c:numCache>
            </c:numRef>
          </c:val>
        </c:ser>
        <c:ser>
          <c:idx val="7"/>
          <c:order val="7"/>
          <c:tx>
            <c:strRef>
              <c:f>'Report Tables'!$A$14</c:f>
              <c:strCache>
                <c:ptCount val="1"/>
                <c:pt idx="0">
                  <c:v>Contingency</c:v>
                </c:pt>
              </c:strCache>
            </c:strRef>
          </c:tx>
          <c:invertIfNegative val="0"/>
          <c:cat>
            <c:numRef>
              <c:f>'Report Graphs'!$B$2:$E$2</c:f>
              <c:numCache>
                <c:formatCode>General</c:formatCode>
                <c:ptCount val="4"/>
                <c:pt idx="0">
                  <c:v>1</c:v>
                </c:pt>
                <c:pt idx="1">
                  <c:v>10</c:v>
                </c:pt>
                <c:pt idx="2">
                  <c:v>50</c:v>
                </c:pt>
                <c:pt idx="3">
                  <c:v>100</c:v>
                </c:pt>
              </c:numCache>
            </c:numRef>
          </c:cat>
          <c:val>
            <c:numRef>
              <c:f>'Report Tables'!$B$29:$E$29</c:f>
              <c:numCache>
                <c:formatCode>"$"#,##0</c:formatCode>
                <c:ptCount val="4"/>
                <c:pt idx="0">
                  <c:v>3240</c:v>
                </c:pt>
                <c:pt idx="1">
                  <c:v>1020</c:v>
                </c:pt>
                <c:pt idx="2">
                  <c:v>590</c:v>
                </c:pt>
                <c:pt idx="3">
                  <c:v>510</c:v>
                </c:pt>
              </c:numCache>
            </c:numRef>
          </c:val>
        </c:ser>
        <c:dLbls>
          <c:showLegendKey val="0"/>
          <c:showVal val="0"/>
          <c:showCatName val="0"/>
          <c:showSerName val="0"/>
          <c:showPercent val="0"/>
          <c:showBubbleSize val="0"/>
        </c:dLbls>
        <c:gapWidth val="150"/>
        <c:overlap val="100"/>
        <c:axId val="57007488"/>
        <c:axId val="57009664"/>
      </c:barChart>
      <c:catAx>
        <c:axId val="57007488"/>
        <c:scaling>
          <c:orientation val="minMax"/>
        </c:scaling>
        <c:delete val="0"/>
        <c:axPos val="b"/>
        <c:majorGridlines>
          <c:spPr>
            <a:ln>
              <a:solidFill>
                <a:schemeClr val="bg1">
                  <a:lumMod val="85000"/>
                </a:schemeClr>
              </a:solidFill>
            </a:ln>
          </c:spPr>
        </c:majorGridlines>
        <c:title>
          <c:tx>
            <c:rich>
              <a:bodyPr/>
              <a:lstStyle/>
              <a:p>
                <a:pPr>
                  <a:defRPr/>
                </a:pPr>
                <a:r>
                  <a:rPr lang="en-US" baseline="0"/>
                  <a:t># of Units</a:t>
                </a:r>
              </a:p>
            </c:rich>
          </c:tx>
          <c:overlay val="0"/>
        </c:title>
        <c:numFmt formatCode="0" sourceLinked="0"/>
        <c:majorTickMark val="out"/>
        <c:minorTickMark val="none"/>
        <c:tickLblPos val="nextTo"/>
        <c:crossAx val="57009664"/>
        <c:crosses val="autoZero"/>
        <c:auto val="1"/>
        <c:lblAlgn val="ctr"/>
        <c:lblOffset val="100"/>
        <c:noMultiLvlLbl val="0"/>
      </c:catAx>
      <c:valAx>
        <c:axId val="57009664"/>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Capex ($/kW)</a:t>
                </a:r>
              </a:p>
            </c:rich>
          </c:tx>
          <c:overlay val="0"/>
        </c:title>
        <c:numFmt formatCode="&quot;$&quot;#,##0" sourceLinked="1"/>
        <c:majorTickMark val="out"/>
        <c:minorTickMark val="none"/>
        <c:tickLblPos val="nextTo"/>
        <c:crossAx val="57007488"/>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Tables'!$A$7</c:f>
              <c:strCache>
                <c:ptCount val="1"/>
                <c:pt idx="0">
                  <c:v>Development</c:v>
                </c:pt>
              </c:strCache>
            </c:strRef>
          </c:tx>
          <c:invertIfNegative val="0"/>
          <c:cat>
            <c:numRef>
              <c:f>'Report Graphs'!$C$2:$E$2</c:f>
              <c:numCache>
                <c:formatCode>General</c:formatCode>
                <c:ptCount val="3"/>
                <c:pt idx="0">
                  <c:v>10</c:v>
                </c:pt>
                <c:pt idx="1">
                  <c:v>50</c:v>
                </c:pt>
                <c:pt idx="2">
                  <c:v>100</c:v>
                </c:pt>
              </c:numCache>
            </c:numRef>
          </c:cat>
          <c:val>
            <c:numRef>
              <c:f>('Report Tables'!$B$37,'Report Tables'!$D$37,'Report Tables'!$F$37)</c:f>
              <c:numCache>
                <c:formatCode>#,##0.0</c:formatCode>
                <c:ptCount val="3"/>
                <c:pt idx="0">
                  <c:v>11.007116419310588</c:v>
                </c:pt>
                <c:pt idx="1">
                  <c:v>2.6810225669279513</c:v>
                </c:pt>
                <c:pt idx="2" formatCode="0.0">
                  <c:v>1.4253360256407857</c:v>
                </c:pt>
              </c:numCache>
            </c:numRef>
          </c:val>
        </c:ser>
        <c:ser>
          <c:idx val="1"/>
          <c:order val="1"/>
          <c:tx>
            <c:strRef>
              <c:f>'Report Tables'!$A$8</c:f>
              <c:strCache>
                <c:ptCount val="1"/>
                <c:pt idx="0">
                  <c:v>Infrastructure</c:v>
                </c:pt>
              </c:strCache>
            </c:strRef>
          </c:tx>
          <c:invertIfNegative val="0"/>
          <c:cat>
            <c:numRef>
              <c:f>'Report Graphs'!$C$2:$E$2</c:f>
              <c:numCache>
                <c:formatCode>General</c:formatCode>
                <c:ptCount val="3"/>
                <c:pt idx="0">
                  <c:v>10</c:v>
                </c:pt>
                <c:pt idx="1">
                  <c:v>50</c:v>
                </c:pt>
                <c:pt idx="2">
                  <c:v>100</c:v>
                </c:pt>
              </c:numCache>
            </c:numRef>
          </c:cat>
          <c:val>
            <c:numRef>
              <c:f>('Report Tables'!$B$38,'Report Tables'!$D$38,'Report Tables'!$F$38)</c:f>
              <c:numCache>
                <c:formatCode>#,##0.0</c:formatCode>
                <c:ptCount val="3"/>
                <c:pt idx="0">
                  <c:v>1.2051632659093878</c:v>
                </c:pt>
                <c:pt idx="1">
                  <c:v>0.79615685149728765</c:v>
                </c:pt>
                <c:pt idx="2" formatCode="0.0">
                  <c:v>0.7699825560694934</c:v>
                </c:pt>
              </c:numCache>
            </c:numRef>
          </c:val>
        </c:ser>
        <c:ser>
          <c:idx val="3"/>
          <c:order val="2"/>
          <c:tx>
            <c:strRef>
              <c:f>'Report Tables'!$A$9</c:f>
              <c:strCache>
                <c:ptCount val="1"/>
                <c:pt idx="0">
                  <c:v>Mooring/Foundation</c:v>
                </c:pt>
              </c:strCache>
            </c:strRef>
          </c:tx>
          <c:spPr>
            <a:solidFill>
              <a:srgbClr val="FFC000"/>
            </a:solidFill>
          </c:spPr>
          <c:invertIfNegative val="0"/>
          <c:cat>
            <c:numRef>
              <c:f>'Report Graphs'!$C$2:$E$2</c:f>
              <c:numCache>
                <c:formatCode>General</c:formatCode>
                <c:ptCount val="3"/>
                <c:pt idx="0">
                  <c:v>10</c:v>
                </c:pt>
                <c:pt idx="1">
                  <c:v>50</c:v>
                </c:pt>
                <c:pt idx="2">
                  <c:v>100</c:v>
                </c:pt>
              </c:numCache>
            </c:numRef>
          </c:cat>
          <c:val>
            <c:numRef>
              <c:f>('Report Tables'!$B$39,'Report Tables'!$D$39,'Report Tables'!$F$39)</c:f>
              <c:numCache>
                <c:formatCode>#,##0.0</c:formatCode>
                <c:ptCount val="3"/>
                <c:pt idx="0">
                  <c:v>1.1952487600655264</c:v>
                </c:pt>
                <c:pt idx="1">
                  <c:v>1.1952487600655262</c:v>
                </c:pt>
                <c:pt idx="2" formatCode="0.0">
                  <c:v>1.1952487600655262</c:v>
                </c:pt>
              </c:numCache>
            </c:numRef>
          </c:val>
        </c:ser>
        <c:ser>
          <c:idx val="4"/>
          <c:order val="3"/>
          <c:tx>
            <c:strRef>
              <c:f>'Report Tables'!$A$10</c:f>
              <c:strCache>
                <c:ptCount val="1"/>
                <c:pt idx="0">
                  <c:v>Device Structural Components</c:v>
                </c:pt>
              </c:strCache>
            </c:strRef>
          </c:tx>
          <c:spPr>
            <a:solidFill>
              <a:srgbClr val="00B050"/>
            </a:solidFill>
          </c:spPr>
          <c:invertIfNegative val="0"/>
          <c:cat>
            <c:numRef>
              <c:f>'Report Graphs'!$C$2:$E$2</c:f>
              <c:numCache>
                <c:formatCode>General</c:formatCode>
                <c:ptCount val="3"/>
                <c:pt idx="0">
                  <c:v>10</c:v>
                </c:pt>
                <c:pt idx="1">
                  <c:v>50</c:v>
                </c:pt>
                <c:pt idx="2">
                  <c:v>100</c:v>
                </c:pt>
              </c:numCache>
            </c:numRef>
          </c:cat>
          <c:val>
            <c:numRef>
              <c:f>('Report Tables'!$B$40,'Report Tables'!$D$40,'Report Tables'!$F$40)</c:f>
              <c:numCache>
                <c:formatCode>#,##0.0</c:formatCode>
                <c:ptCount val="3"/>
                <c:pt idx="0">
                  <c:v>11.421869810231215</c:v>
                </c:pt>
                <c:pt idx="1">
                  <c:v>10.025585812183062</c:v>
                </c:pt>
                <c:pt idx="2" formatCode="0.0">
                  <c:v>9.6953681800060441</c:v>
                </c:pt>
              </c:numCache>
            </c:numRef>
          </c:val>
        </c:ser>
        <c:ser>
          <c:idx val="5"/>
          <c:order val="4"/>
          <c:tx>
            <c:strRef>
              <c:f>'Report Tables'!$A$11</c:f>
              <c:strCache>
                <c:ptCount val="1"/>
                <c:pt idx="0">
                  <c:v>Power Take Off</c:v>
                </c:pt>
              </c:strCache>
            </c:strRef>
          </c:tx>
          <c:invertIfNegative val="0"/>
          <c:cat>
            <c:numRef>
              <c:f>'Report Graphs'!$C$2:$E$2</c:f>
              <c:numCache>
                <c:formatCode>General</c:formatCode>
                <c:ptCount val="3"/>
                <c:pt idx="0">
                  <c:v>10</c:v>
                </c:pt>
                <c:pt idx="1">
                  <c:v>50</c:v>
                </c:pt>
                <c:pt idx="2">
                  <c:v>100</c:v>
                </c:pt>
              </c:numCache>
            </c:numRef>
          </c:cat>
          <c:val>
            <c:numRef>
              <c:f>('Report Tables'!$B$41,'Report Tables'!$D$41,'Report Tables'!$F$41)</c:f>
              <c:numCache>
                <c:formatCode>#,##0.0</c:formatCode>
                <c:ptCount val="3"/>
                <c:pt idx="0">
                  <c:v>18.575266352340687</c:v>
                </c:pt>
                <c:pt idx="1">
                  <c:v>10.787963146995319</c:v>
                </c:pt>
                <c:pt idx="2" formatCode="0.0">
                  <c:v>8.7508277143764257</c:v>
                </c:pt>
              </c:numCache>
            </c:numRef>
          </c:val>
        </c:ser>
        <c:ser>
          <c:idx val="2"/>
          <c:order val="5"/>
          <c:tx>
            <c:strRef>
              <c:f>'Report Tables'!$A$12</c:f>
              <c:strCache>
                <c:ptCount val="1"/>
                <c:pt idx="0">
                  <c:v>Subsystem Integration &amp; Profit Margin</c:v>
                </c:pt>
              </c:strCache>
            </c:strRef>
          </c:tx>
          <c:invertIfNegative val="0"/>
          <c:cat>
            <c:numRef>
              <c:f>'Report Graphs'!$C$2:$E$2</c:f>
              <c:numCache>
                <c:formatCode>General</c:formatCode>
                <c:ptCount val="3"/>
                <c:pt idx="0">
                  <c:v>10</c:v>
                </c:pt>
                <c:pt idx="1">
                  <c:v>50</c:v>
                </c:pt>
                <c:pt idx="2">
                  <c:v>100</c:v>
                </c:pt>
              </c:numCache>
            </c:numRef>
          </c:cat>
          <c:val>
            <c:numRef>
              <c:f>('Report Tables'!$B$42,'Report Tables'!$D$42,'Report Tables'!$F$42)</c:f>
              <c:numCache>
                <c:formatCode>#,##0.0</c:formatCode>
                <c:ptCount val="3"/>
                <c:pt idx="0">
                  <c:v>2.9997136162571905</c:v>
                </c:pt>
                <c:pt idx="1">
                  <c:v>2.0813548959178383</c:v>
                </c:pt>
                <c:pt idx="2" formatCode="0.0">
                  <c:v>1.8446195894382469</c:v>
                </c:pt>
              </c:numCache>
            </c:numRef>
          </c:val>
        </c:ser>
        <c:ser>
          <c:idx val="6"/>
          <c:order val="6"/>
          <c:tx>
            <c:strRef>
              <c:f>'Report Tables'!$A$13</c:f>
              <c:strCache>
                <c:ptCount val="1"/>
                <c:pt idx="0">
                  <c:v>Installation</c:v>
                </c:pt>
              </c:strCache>
            </c:strRef>
          </c:tx>
          <c:invertIfNegative val="0"/>
          <c:cat>
            <c:numRef>
              <c:f>'Report Graphs'!$C$2:$E$2</c:f>
              <c:numCache>
                <c:formatCode>General</c:formatCode>
                <c:ptCount val="3"/>
                <c:pt idx="0">
                  <c:v>10</c:v>
                </c:pt>
                <c:pt idx="1">
                  <c:v>50</c:v>
                </c:pt>
                <c:pt idx="2">
                  <c:v>100</c:v>
                </c:pt>
              </c:numCache>
            </c:numRef>
          </c:cat>
          <c:val>
            <c:numRef>
              <c:f>('Report Tables'!$B$43,'Report Tables'!$D$43,'Report Tables'!$F$43)</c:f>
              <c:numCache>
                <c:formatCode>#,##0.0</c:formatCode>
                <c:ptCount val="3"/>
                <c:pt idx="0">
                  <c:v>3.8619754291241648</c:v>
                </c:pt>
                <c:pt idx="1">
                  <c:v>1.712934682702755</c:v>
                </c:pt>
                <c:pt idx="2" formatCode="0.0">
                  <c:v>1.4829153930957668</c:v>
                </c:pt>
              </c:numCache>
            </c:numRef>
          </c:val>
        </c:ser>
        <c:ser>
          <c:idx val="7"/>
          <c:order val="7"/>
          <c:tx>
            <c:strRef>
              <c:f>'Report Tables'!$A$14</c:f>
              <c:strCache>
                <c:ptCount val="1"/>
                <c:pt idx="0">
                  <c:v>Contingency</c:v>
                </c:pt>
              </c:strCache>
            </c:strRef>
          </c:tx>
          <c:invertIfNegative val="0"/>
          <c:cat>
            <c:numRef>
              <c:f>'Report Graphs'!$C$2:$E$2</c:f>
              <c:numCache>
                <c:formatCode>General</c:formatCode>
                <c:ptCount val="3"/>
                <c:pt idx="0">
                  <c:v>10</c:v>
                </c:pt>
                <c:pt idx="1">
                  <c:v>50</c:v>
                </c:pt>
                <c:pt idx="2">
                  <c:v>100</c:v>
                </c:pt>
              </c:numCache>
            </c:numRef>
          </c:cat>
          <c:val>
            <c:numRef>
              <c:f>('Report Tables'!$B$44,'Report Tables'!$D$44,'Report Tables'!$F$44)</c:f>
              <c:numCache>
                <c:formatCode>#,##0.0</c:formatCode>
                <c:ptCount val="3"/>
                <c:pt idx="0">
                  <c:v>5.0266353653238767</c:v>
                </c:pt>
                <c:pt idx="1">
                  <c:v>2.9280266716289733</c:v>
                </c:pt>
                <c:pt idx="2" formatCode="0.0">
                  <c:v>2.5164298218692291</c:v>
                </c:pt>
              </c:numCache>
            </c:numRef>
          </c:val>
        </c:ser>
        <c:dLbls>
          <c:showLegendKey val="0"/>
          <c:showVal val="0"/>
          <c:showCatName val="0"/>
          <c:showSerName val="0"/>
          <c:showPercent val="0"/>
          <c:showBubbleSize val="0"/>
        </c:dLbls>
        <c:gapWidth val="150"/>
        <c:overlap val="100"/>
        <c:axId val="57163136"/>
        <c:axId val="57165312"/>
      </c:barChart>
      <c:catAx>
        <c:axId val="57163136"/>
        <c:scaling>
          <c:orientation val="minMax"/>
        </c:scaling>
        <c:delete val="0"/>
        <c:axPos val="b"/>
        <c:majorGridlines>
          <c:spPr>
            <a:ln>
              <a:solidFill>
                <a:schemeClr val="bg1">
                  <a:lumMod val="85000"/>
                </a:schemeClr>
              </a:solidFill>
            </a:ln>
          </c:spPr>
        </c:majorGridlines>
        <c:title>
          <c:tx>
            <c:rich>
              <a:bodyPr/>
              <a:lstStyle/>
              <a:p>
                <a:pPr>
                  <a:defRPr/>
                </a:pPr>
                <a:r>
                  <a:rPr lang="en-US" baseline="0"/>
                  <a:t># of Units</a:t>
                </a:r>
              </a:p>
            </c:rich>
          </c:tx>
          <c:overlay val="0"/>
        </c:title>
        <c:numFmt formatCode="0" sourceLinked="0"/>
        <c:majorTickMark val="out"/>
        <c:minorTickMark val="none"/>
        <c:tickLblPos val="nextTo"/>
        <c:crossAx val="57165312"/>
        <c:crosses val="autoZero"/>
        <c:auto val="1"/>
        <c:lblAlgn val="ctr"/>
        <c:lblOffset val="100"/>
        <c:noMultiLvlLbl val="0"/>
      </c:catAx>
      <c:valAx>
        <c:axId val="57165312"/>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LCoE (cents/kWh)</a:t>
                </a:r>
              </a:p>
            </c:rich>
          </c:tx>
          <c:layout>
            <c:manualLayout>
              <c:xMode val="edge"/>
              <c:yMode val="edge"/>
              <c:x val="1.6838882510524303E-2"/>
              <c:y val="0.32321127075469908"/>
            </c:manualLayout>
          </c:layout>
          <c:overlay val="0"/>
        </c:title>
        <c:numFmt formatCode="#,##0.0" sourceLinked="1"/>
        <c:majorTickMark val="out"/>
        <c:minorTickMark val="none"/>
        <c:tickLblPos val="nextTo"/>
        <c:crossAx val="57163136"/>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Tables'!$A$52</c:f>
              <c:strCache>
                <c:ptCount val="1"/>
                <c:pt idx="0">
                  <c:v>Insurance</c:v>
                </c:pt>
              </c:strCache>
            </c:strRef>
          </c:tx>
          <c:invertIfNegative val="0"/>
          <c:cat>
            <c:numRef>
              <c:f>'Report Graphs'!$B$2:$E$2</c:f>
              <c:numCache>
                <c:formatCode>General</c:formatCode>
                <c:ptCount val="4"/>
                <c:pt idx="0">
                  <c:v>1</c:v>
                </c:pt>
                <c:pt idx="1">
                  <c:v>10</c:v>
                </c:pt>
                <c:pt idx="2">
                  <c:v>50</c:v>
                </c:pt>
                <c:pt idx="3">
                  <c:v>100</c:v>
                </c:pt>
              </c:numCache>
            </c:numRef>
          </c:cat>
          <c:val>
            <c:numRef>
              <c:f>'Report Tables'!$B$52:$E$52</c:f>
              <c:numCache>
                <c:formatCode>"$"#,##0</c:formatCode>
                <c:ptCount val="4"/>
                <c:pt idx="0">
                  <c:v>39</c:v>
                </c:pt>
                <c:pt idx="1">
                  <c:v>143</c:v>
                </c:pt>
                <c:pt idx="2">
                  <c:v>241</c:v>
                </c:pt>
                <c:pt idx="3">
                  <c:v>215</c:v>
                </c:pt>
              </c:numCache>
            </c:numRef>
          </c:val>
        </c:ser>
        <c:ser>
          <c:idx val="1"/>
          <c:order val="1"/>
          <c:tx>
            <c:strRef>
              <c:f>'Report Tables'!$A$53</c:f>
              <c:strCache>
                <c:ptCount val="1"/>
                <c:pt idx="0">
                  <c:v>Environmental Monitoring &amp; Regulatory Compliance</c:v>
                </c:pt>
              </c:strCache>
            </c:strRef>
          </c:tx>
          <c:invertIfNegative val="0"/>
          <c:cat>
            <c:numRef>
              <c:f>'Report Graphs'!$B$2:$E$2</c:f>
              <c:numCache>
                <c:formatCode>General</c:formatCode>
                <c:ptCount val="4"/>
                <c:pt idx="0">
                  <c:v>1</c:v>
                </c:pt>
                <c:pt idx="1">
                  <c:v>10</c:v>
                </c:pt>
                <c:pt idx="2">
                  <c:v>50</c:v>
                </c:pt>
                <c:pt idx="3">
                  <c:v>100</c:v>
                </c:pt>
              </c:numCache>
            </c:numRef>
          </c:cat>
          <c:val>
            <c:numRef>
              <c:f>'Report Tables'!$B$53:$E$53</c:f>
              <c:numCache>
                <c:formatCode>"$"#,##0</c:formatCode>
                <c:ptCount val="4"/>
                <c:pt idx="0">
                  <c:v>128</c:v>
                </c:pt>
                <c:pt idx="1">
                  <c:v>174</c:v>
                </c:pt>
                <c:pt idx="2">
                  <c:v>174</c:v>
                </c:pt>
                <c:pt idx="3">
                  <c:v>174</c:v>
                </c:pt>
              </c:numCache>
            </c:numRef>
          </c:val>
        </c:ser>
        <c:ser>
          <c:idx val="3"/>
          <c:order val="2"/>
          <c:tx>
            <c:strRef>
              <c:f>'Report Tables'!$A$54</c:f>
              <c:strCache>
                <c:ptCount val="1"/>
                <c:pt idx="0">
                  <c:v>Marine Operations</c:v>
                </c:pt>
              </c:strCache>
            </c:strRef>
          </c:tx>
          <c:spPr>
            <a:solidFill>
              <a:srgbClr val="FFC000"/>
            </a:solidFill>
          </c:spPr>
          <c:invertIfNegative val="0"/>
          <c:cat>
            <c:numRef>
              <c:f>'Report Graphs'!$B$2:$E$2</c:f>
              <c:numCache>
                <c:formatCode>General</c:formatCode>
                <c:ptCount val="4"/>
                <c:pt idx="0">
                  <c:v>1</c:v>
                </c:pt>
                <c:pt idx="1">
                  <c:v>10</c:v>
                </c:pt>
                <c:pt idx="2">
                  <c:v>50</c:v>
                </c:pt>
                <c:pt idx="3">
                  <c:v>100</c:v>
                </c:pt>
              </c:numCache>
            </c:numRef>
          </c:cat>
          <c:val>
            <c:numRef>
              <c:f>'Report Tables'!$B$54:$E$54</c:f>
              <c:numCache>
                <c:formatCode>"$"#,##0</c:formatCode>
                <c:ptCount val="4"/>
                <c:pt idx="0">
                  <c:v>7</c:v>
                </c:pt>
                <c:pt idx="1">
                  <c:v>71</c:v>
                </c:pt>
                <c:pt idx="2">
                  <c:v>354</c:v>
                </c:pt>
                <c:pt idx="3">
                  <c:v>708</c:v>
                </c:pt>
              </c:numCache>
            </c:numRef>
          </c:val>
        </c:ser>
        <c:ser>
          <c:idx val="4"/>
          <c:order val="3"/>
          <c:tx>
            <c:strRef>
              <c:f>'Report Tables'!$A$55</c:f>
              <c:strCache>
                <c:ptCount val="1"/>
                <c:pt idx="0">
                  <c:v>Shoreside Operations</c:v>
                </c:pt>
              </c:strCache>
            </c:strRef>
          </c:tx>
          <c:spPr>
            <a:solidFill>
              <a:srgbClr val="00B050"/>
            </a:solidFill>
          </c:spPr>
          <c:invertIfNegative val="0"/>
          <c:cat>
            <c:numRef>
              <c:f>'Report Graphs'!$B$2:$E$2</c:f>
              <c:numCache>
                <c:formatCode>General</c:formatCode>
                <c:ptCount val="4"/>
                <c:pt idx="0">
                  <c:v>1</c:v>
                </c:pt>
                <c:pt idx="1">
                  <c:v>10</c:v>
                </c:pt>
                <c:pt idx="2">
                  <c:v>50</c:v>
                </c:pt>
                <c:pt idx="3">
                  <c:v>100</c:v>
                </c:pt>
              </c:numCache>
            </c:numRef>
          </c:cat>
          <c:val>
            <c:numRef>
              <c:f>'Report Tables'!$B$55:$E$55</c:f>
              <c:numCache>
                <c:formatCode>"$"#,##0</c:formatCode>
                <c:ptCount val="4"/>
                <c:pt idx="0">
                  <c:v>9</c:v>
                </c:pt>
                <c:pt idx="1">
                  <c:v>53</c:v>
                </c:pt>
                <c:pt idx="2">
                  <c:v>151</c:v>
                </c:pt>
                <c:pt idx="3">
                  <c:v>271</c:v>
                </c:pt>
              </c:numCache>
            </c:numRef>
          </c:val>
        </c:ser>
        <c:ser>
          <c:idx val="5"/>
          <c:order val="4"/>
          <c:tx>
            <c:strRef>
              <c:f>'Report Tables'!$A$56</c:f>
              <c:strCache>
                <c:ptCount val="1"/>
                <c:pt idx="0">
                  <c:v>Replacement Parts</c:v>
                </c:pt>
              </c:strCache>
            </c:strRef>
          </c:tx>
          <c:invertIfNegative val="0"/>
          <c:cat>
            <c:numRef>
              <c:f>'Report Graphs'!$B$2:$E$2</c:f>
              <c:numCache>
                <c:formatCode>General</c:formatCode>
                <c:ptCount val="4"/>
                <c:pt idx="0">
                  <c:v>1</c:v>
                </c:pt>
                <c:pt idx="1">
                  <c:v>10</c:v>
                </c:pt>
                <c:pt idx="2">
                  <c:v>50</c:v>
                </c:pt>
                <c:pt idx="3">
                  <c:v>100</c:v>
                </c:pt>
              </c:numCache>
            </c:numRef>
          </c:cat>
          <c:val>
            <c:numRef>
              <c:f>'Report Tables'!$B$56:$E$56</c:f>
              <c:numCache>
                <c:formatCode>"$"#,##0</c:formatCode>
                <c:ptCount val="4"/>
                <c:pt idx="0">
                  <c:v>16</c:v>
                </c:pt>
                <c:pt idx="1">
                  <c:v>64</c:v>
                </c:pt>
                <c:pt idx="2">
                  <c:v>186</c:v>
                </c:pt>
                <c:pt idx="3">
                  <c:v>302</c:v>
                </c:pt>
              </c:numCache>
            </c:numRef>
          </c:val>
        </c:ser>
        <c:ser>
          <c:idx val="2"/>
          <c:order val="5"/>
          <c:tx>
            <c:strRef>
              <c:f>'Report Tables'!$A$57</c:f>
              <c:strCache>
                <c:ptCount val="1"/>
                <c:pt idx="0">
                  <c:v>Consumables</c:v>
                </c:pt>
              </c:strCache>
            </c:strRef>
          </c:tx>
          <c:invertIfNegative val="0"/>
          <c:cat>
            <c:numRef>
              <c:f>'Report Graphs'!$B$2:$E$2</c:f>
              <c:numCache>
                <c:formatCode>General</c:formatCode>
                <c:ptCount val="4"/>
                <c:pt idx="0">
                  <c:v>1</c:v>
                </c:pt>
                <c:pt idx="1">
                  <c:v>10</c:v>
                </c:pt>
                <c:pt idx="2">
                  <c:v>50</c:v>
                </c:pt>
                <c:pt idx="3">
                  <c:v>100</c:v>
                </c:pt>
              </c:numCache>
            </c:numRef>
          </c:cat>
          <c:val>
            <c:numRef>
              <c:f>'Report Tables'!$B$57:$E$57</c:f>
              <c:numCache>
                <c:formatCode>"$"#,##0</c:formatCode>
                <c:ptCount val="4"/>
                <c:pt idx="0">
                  <c:v>2</c:v>
                </c:pt>
                <c:pt idx="1">
                  <c:v>6</c:v>
                </c:pt>
                <c:pt idx="2">
                  <c:v>19</c:v>
                </c:pt>
                <c:pt idx="3">
                  <c:v>30</c:v>
                </c:pt>
              </c:numCache>
            </c:numRef>
          </c:val>
        </c:ser>
        <c:dLbls>
          <c:showLegendKey val="0"/>
          <c:showVal val="0"/>
          <c:showCatName val="0"/>
          <c:showSerName val="0"/>
          <c:showPercent val="0"/>
          <c:showBubbleSize val="0"/>
        </c:dLbls>
        <c:gapWidth val="150"/>
        <c:overlap val="100"/>
        <c:axId val="57177600"/>
        <c:axId val="57179520"/>
      </c:barChart>
      <c:catAx>
        <c:axId val="57177600"/>
        <c:scaling>
          <c:orientation val="minMax"/>
        </c:scaling>
        <c:delete val="0"/>
        <c:axPos val="b"/>
        <c:majorGridlines>
          <c:spPr>
            <a:ln>
              <a:solidFill>
                <a:schemeClr val="bg1">
                  <a:lumMod val="85000"/>
                </a:schemeClr>
              </a:solidFill>
            </a:ln>
          </c:spPr>
        </c:majorGridlines>
        <c:title>
          <c:tx>
            <c:rich>
              <a:bodyPr/>
              <a:lstStyle/>
              <a:p>
                <a:pPr>
                  <a:defRPr/>
                </a:pPr>
                <a:r>
                  <a:rPr lang="en-US" baseline="0"/>
                  <a:t># of Units</a:t>
                </a:r>
              </a:p>
            </c:rich>
          </c:tx>
          <c:overlay val="0"/>
        </c:title>
        <c:numFmt formatCode="0" sourceLinked="0"/>
        <c:majorTickMark val="out"/>
        <c:minorTickMark val="none"/>
        <c:tickLblPos val="nextTo"/>
        <c:crossAx val="57179520"/>
        <c:crosses val="autoZero"/>
        <c:auto val="1"/>
        <c:lblAlgn val="ctr"/>
        <c:lblOffset val="100"/>
        <c:noMultiLvlLbl val="0"/>
      </c:catAx>
      <c:valAx>
        <c:axId val="57179520"/>
        <c:scaling>
          <c:orientation val="minMax"/>
          <c:min val="0"/>
        </c:scaling>
        <c:delete val="0"/>
        <c:axPos val="l"/>
        <c:majorGridlines>
          <c:spPr>
            <a:ln>
              <a:solidFill>
                <a:schemeClr val="bg1">
                  <a:lumMod val="85000"/>
                </a:schemeClr>
              </a:solidFill>
            </a:ln>
          </c:spPr>
        </c:majorGridlines>
        <c:title>
          <c:tx>
            <c:strRef>
              <c:f>'Report Tables'!$A$49</c:f>
              <c:strCache>
                <c:ptCount val="1"/>
                <c:pt idx="0">
                  <c:v>Annual Cost in Thousands ($)</c:v>
                </c:pt>
              </c:strCache>
            </c:strRef>
          </c:tx>
          <c:overlay val="0"/>
          <c:txPr>
            <a:bodyPr rot="-5400000" vert="horz"/>
            <a:lstStyle/>
            <a:p>
              <a:pPr>
                <a:defRPr/>
              </a:pPr>
              <a:endParaRPr lang="en-US"/>
            </a:p>
          </c:txPr>
        </c:title>
        <c:numFmt formatCode="&quot;$&quot;#,##0" sourceLinked="1"/>
        <c:majorTickMark val="out"/>
        <c:minorTickMark val="none"/>
        <c:tickLblPos val="nextTo"/>
        <c:crossAx val="57177600"/>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Tables'!$A$52</c:f>
              <c:strCache>
                <c:ptCount val="1"/>
                <c:pt idx="0">
                  <c:v>Insurance</c:v>
                </c:pt>
              </c:strCache>
            </c:strRef>
          </c:tx>
          <c:invertIfNegative val="0"/>
          <c:cat>
            <c:numRef>
              <c:f>'Report Graphs'!$B$2:$E$2</c:f>
              <c:numCache>
                <c:formatCode>General</c:formatCode>
                <c:ptCount val="4"/>
                <c:pt idx="0">
                  <c:v>1</c:v>
                </c:pt>
                <c:pt idx="1">
                  <c:v>10</c:v>
                </c:pt>
                <c:pt idx="2">
                  <c:v>50</c:v>
                </c:pt>
                <c:pt idx="3">
                  <c:v>100</c:v>
                </c:pt>
              </c:numCache>
            </c:numRef>
          </c:cat>
          <c:val>
            <c:numRef>
              <c:f>'Report Tables'!$B$65:$E$65</c:f>
              <c:numCache>
                <c:formatCode>"$"#,##0</c:formatCode>
                <c:ptCount val="4"/>
                <c:pt idx="0">
                  <c:v>440</c:v>
                </c:pt>
                <c:pt idx="1">
                  <c:v>160</c:v>
                </c:pt>
                <c:pt idx="2">
                  <c:v>50</c:v>
                </c:pt>
                <c:pt idx="3">
                  <c:v>20</c:v>
                </c:pt>
              </c:numCache>
            </c:numRef>
          </c:val>
        </c:ser>
        <c:ser>
          <c:idx val="1"/>
          <c:order val="1"/>
          <c:tx>
            <c:strRef>
              <c:f>'Report Tables'!$A$53</c:f>
              <c:strCache>
                <c:ptCount val="1"/>
                <c:pt idx="0">
                  <c:v>Environmental Monitoring &amp; Regulatory Compliance</c:v>
                </c:pt>
              </c:strCache>
            </c:strRef>
          </c:tx>
          <c:invertIfNegative val="0"/>
          <c:cat>
            <c:numRef>
              <c:f>'Report Graphs'!$B$2:$E$2</c:f>
              <c:numCache>
                <c:formatCode>General</c:formatCode>
                <c:ptCount val="4"/>
                <c:pt idx="0">
                  <c:v>1</c:v>
                </c:pt>
                <c:pt idx="1">
                  <c:v>10</c:v>
                </c:pt>
                <c:pt idx="2">
                  <c:v>50</c:v>
                </c:pt>
                <c:pt idx="3">
                  <c:v>100</c:v>
                </c:pt>
              </c:numCache>
            </c:numRef>
          </c:cat>
          <c:val>
            <c:numRef>
              <c:f>'Report Tables'!$B$66:$E$66</c:f>
              <c:numCache>
                <c:formatCode>"$"#,##0</c:formatCode>
                <c:ptCount val="4"/>
                <c:pt idx="0">
                  <c:v>1420</c:v>
                </c:pt>
                <c:pt idx="1">
                  <c:v>190</c:v>
                </c:pt>
                <c:pt idx="2">
                  <c:v>40</c:v>
                </c:pt>
                <c:pt idx="3">
                  <c:v>20</c:v>
                </c:pt>
              </c:numCache>
            </c:numRef>
          </c:val>
        </c:ser>
        <c:ser>
          <c:idx val="3"/>
          <c:order val="2"/>
          <c:tx>
            <c:strRef>
              <c:f>'Report Tables'!$A$54</c:f>
              <c:strCache>
                <c:ptCount val="1"/>
                <c:pt idx="0">
                  <c:v>Marine Operations</c:v>
                </c:pt>
              </c:strCache>
            </c:strRef>
          </c:tx>
          <c:spPr>
            <a:solidFill>
              <a:srgbClr val="FFC000"/>
            </a:solidFill>
          </c:spPr>
          <c:invertIfNegative val="0"/>
          <c:cat>
            <c:numRef>
              <c:f>'Report Graphs'!$B$2:$E$2</c:f>
              <c:numCache>
                <c:formatCode>General</c:formatCode>
                <c:ptCount val="4"/>
                <c:pt idx="0">
                  <c:v>1</c:v>
                </c:pt>
                <c:pt idx="1">
                  <c:v>10</c:v>
                </c:pt>
                <c:pt idx="2">
                  <c:v>50</c:v>
                </c:pt>
                <c:pt idx="3">
                  <c:v>100</c:v>
                </c:pt>
              </c:numCache>
            </c:numRef>
          </c:cat>
          <c:val>
            <c:numRef>
              <c:f>'Report Tables'!$B$67:$E$67</c:f>
              <c:numCache>
                <c:formatCode>"$"#,##0</c:formatCode>
                <c:ptCount val="4"/>
                <c:pt idx="0">
                  <c:v>80</c:v>
                </c:pt>
                <c:pt idx="1">
                  <c:v>80</c:v>
                </c:pt>
                <c:pt idx="2">
                  <c:v>80</c:v>
                </c:pt>
                <c:pt idx="3">
                  <c:v>80</c:v>
                </c:pt>
              </c:numCache>
            </c:numRef>
          </c:val>
        </c:ser>
        <c:ser>
          <c:idx val="4"/>
          <c:order val="3"/>
          <c:tx>
            <c:strRef>
              <c:f>'Report Tables'!$A$55</c:f>
              <c:strCache>
                <c:ptCount val="1"/>
                <c:pt idx="0">
                  <c:v>Shoreside Operations</c:v>
                </c:pt>
              </c:strCache>
            </c:strRef>
          </c:tx>
          <c:spPr>
            <a:solidFill>
              <a:srgbClr val="00B050"/>
            </a:solidFill>
          </c:spPr>
          <c:invertIfNegative val="0"/>
          <c:cat>
            <c:numRef>
              <c:f>'Report Graphs'!$B$2:$E$2</c:f>
              <c:numCache>
                <c:formatCode>General</c:formatCode>
                <c:ptCount val="4"/>
                <c:pt idx="0">
                  <c:v>1</c:v>
                </c:pt>
                <c:pt idx="1">
                  <c:v>10</c:v>
                </c:pt>
                <c:pt idx="2">
                  <c:v>50</c:v>
                </c:pt>
                <c:pt idx="3">
                  <c:v>100</c:v>
                </c:pt>
              </c:numCache>
            </c:numRef>
          </c:cat>
          <c:val>
            <c:numRef>
              <c:f>'Report Tables'!$B$68:$E$68</c:f>
              <c:numCache>
                <c:formatCode>"$"#,##0</c:formatCode>
                <c:ptCount val="4"/>
                <c:pt idx="0">
                  <c:v>100</c:v>
                </c:pt>
                <c:pt idx="1">
                  <c:v>60</c:v>
                </c:pt>
                <c:pt idx="2">
                  <c:v>30</c:v>
                </c:pt>
                <c:pt idx="3">
                  <c:v>30</c:v>
                </c:pt>
              </c:numCache>
            </c:numRef>
          </c:val>
        </c:ser>
        <c:ser>
          <c:idx val="5"/>
          <c:order val="4"/>
          <c:tx>
            <c:strRef>
              <c:f>'Report Tables'!$A$56</c:f>
              <c:strCache>
                <c:ptCount val="1"/>
                <c:pt idx="0">
                  <c:v>Replacement Parts</c:v>
                </c:pt>
              </c:strCache>
            </c:strRef>
          </c:tx>
          <c:invertIfNegative val="0"/>
          <c:cat>
            <c:numRef>
              <c:f>'Report Graphs'!$B$2:$E$2</c:f>
              <c:numCache>
                <c:formatCode>General</c:formatCode>
                <c:ptCount val="4"/>
                <c:pt idx="0">
                  <c:v>1</c:v>
                </c:pt>
                <c:pt idx="1">
                  <c:v>10</c:v>
                </c:pt>
                <c:pt idx="2">
                  <c:v>50</c:v>
                </c:pt>
                <c:pt idx="3">
                  <c:v>100</c:v>
                </c:pt>
              </c:numCache>
            </c:numRef>
          </c:cat>
          <c:val>
            <c:numRef>
              <c:f>'Report Tables'!$B$69:$E$69</c:f>
              <c:numCache>
                <c:formatCode>"$"#,##0</c:formatCode>
                <c:ptCount val="4"/>
                <c:pt idx="0">
                  <c:v>180</c:v>
                </c:pt>
                <c:pt idx="1">
                  <c:v>70</c:v>
                </c:pt>
                <c:pt idx="2">
                  <c:v>40</c:v>
                </c:pt>
                <c:pt idx="3">
                  <c:v>30</c:v>
                </c:pt>
              </c:numCache>
            </c:numRef>
          </c:val>
        </c:ser>
        <c:ser>
          <c:idx val="2"/>
          <c:order val="5"/>
          <c:tx>
            <c:strRef>
              <c:f>'Report Tables'!$A$57</c:f>
              <c:strCache>
                <c:ptCount val="1"/>
                <c:pt idx="0">
                  <c:v>Consumables</c:v>
                </c:pt>
              </c:strCache>
            </c:strRef>
          </c:tx>
          <c:invertIfNegative val="0"/>
          <c:cat>
            <c:numRef>
              <c:f>'Report Graphs'!$B$2:$E$2</c:f>
              <c:numCache>
                <c:formatCode>General</c:formatCode>
                <c:ptCount val="4"/>
                <c:pt idx="0">
                  <c:v>1</c:v>
                </c:pt>
                <c:pt idx="1">
                  <c:v>10</c:v>
                </c:pt>
                <c:pt idx="2">
                  <c:v>50</c:v>
                </c:pt>
                <c:pt idx="3">
                  <c:v>100</c:v>
                </c:pt>
              </c:numCache>
            </c:numRef>
          </c:cat>
          <c:val>
            <c:numRef>
              <c:f>'Report Tables'!$B$70:$E$70</c:f>
              <c:numCache>
                <c:formatCode>"$"#,##0</c:formatCode>
                <c:ptCount val="4"/>
                <c:pt idx="0">
                  <c:v>20</c:v>
                </c:pt>
                <c:pt idx="1">
                  <c:v>10</c:v>
                </c:pt>
                <c:pt idx="2">
                  <c:v>0</c:v>
                </c:pt>
                <c:pt idx="3">
                  <c:v>0</c:v>
                </c:pt>
              </c:numCache>
            </c:numRef>
          </c:val>
        </c:ser>
        <c:dLbls>
          <c:showLegendKey val="0"/>
          <c:showVal val="0"/>
          <c:showCatName val="0"/>
          <c:showSerName val="0"/>
          <c:showPercent val="0"/>
          <c:showBubbleSize val="0"/>
        </c:dLbls>
        <c:gapWidth val="150"/>
        <c:overlap val="100"/>
        <c:axId val="57195520"/>
        <c:axId val="57201792"/>
      </c:barChart>
      <c:catAx>
        <c:axId val="57195520"/>
        <c:scaling>
          <c:orientation val="minMax"/>
        </c:scaling>
        <c:delete val="0"/>
        <c:axPos val="b"/>
        <c:majorGridlines>
          <c:spPr>
            <a:ln>
              <a:solidFill>
                <a:schemeClr val="bg1">
                  <a:lumMod val="85000"/>
                </a:schemeClr>
              </a:solidFill>
            </a:ln>
          </c:spPr>
        </c:majorGridlines>
        <c:title>
          <c:tx>
            <c:rich>
              <a:bodyPr/>
              <a:lstStyle/>
              <a:p>
                <a:pPr>
                  <a:defRPr/>
                </a:pPr>
                <a:r>
                  <a:rPr lang="en-US" baseline="0"/>
                  <a:t># of Units</a:t>
                </a:r>
              </a:p>
            </c:rich>
          </c:tx>
          <c:overlay val="0"/>
        </c:title>
        <c:numFmt formatCode="0" sourceLinked="0"/>
        <c:majorTickMark val="out"/>
        <c:minorTickMark val="none"/>
        <c:tickLblPos val="nextTo"/>
        <c:crossAx val="57201792"/>
        <c:crosses val="autoZero"/>
        <c:auto val="1"/>
        <c:lblAlgn val="ctr"/>
        <c:lblOffset val="100"/>
        <c:noMultiLvlLbl val="0"/>
      </c:catAx>
      <c:valAx>
        <c:axId val="57201792"/>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Opex ($ / kW-yr)</a:t>
                </a:r>
              </a:p>
            </c:rich>
          </c:tx>
          <c:layout>
            <c:manualLayout>
              <c:xMode val="edge"/>
              <c:yMode val="edge"/>
              <c:x val="9.1848450057405284E-3"/>
              <c:y val="0.31372635021380851"/>
            </c:manualLayout>
          </c:layout>
          <c:overlay val="0"/>
        </c:title>
        <c:numFmt formatCode="&quot;$&quot;#,##0" sourceLinked="1"/>
        <c:majorTickMark val="out"/>
        <c:minorTickMark val="none"/>
        <c:tickLblPos val="nextTo"/>
        <c:crossAx val="57195520"/>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'Report Tables'!$A$52</c:f>
              <c:strCache>
                <c:ptCount val="1"/>
                <c:pt idx="0">
                  <c:v>Insurance</c:v>
                </c:pt>
              </c:strCache>
            </c:strRef>
          </c:tx>
          <c:invertIfNegative val="0"/>
          <c:cat>
            <c:numRef>
              <c:f>'Report Graphs'!$C$2:$E$2</c:f>
              <c:numCache>
                <c:formatCode>General</c:formatCode>
                <c:ptCount val="3"/>
                <c:pt idx="0">
                  <c:v>10</c:v>
                </c:pt>
                <c:pt idx="1">
                  <c:v>50</c:v>
                </c:pt>
                <c:pt idx="2">
                  <c:v>100</c:v>
                </c:pt>
              </c:numCache>
            </c:numRef>
          </c:cat>
          <c:val>
            <c:numRef>
              <c:f>('Report Tables'!$B$79,'Report Tables'!$D$79,'Report Tables'!$F$79)</c:f>
              <c:numCache>
                <c:formatCode>0.0</c:formatCode>
                <c:ptCount val="3"/>
                <c:pt idx="0">
                  <c:v>6.9746563052571542</c:v>
                </c:pt>
                <c:pt idx="1">
                  <c:v>2.3627635047515922</c:v>
                </c:pt>
                <c:pt idx="2">
                  <c:v>1.0543448752803322</c:v>
                </c:pt>
              </c:numCache>
            </c:numRef>
          </c:val>
        </c:ser>
        <c:ser>
          <c:idx val="1"/>
          <c:order val="1"/>
          <c:tx>
            <c:strRef>
              <c:f>'Report Tables'!$A$53</c:f>
              <c:strCache>
                <c:ptCount val="1"/>
                <c:pt idx="0">
                  <c:v>Environmental Monitoring &amp; Regulatory Compliance</c:v>
                </c:pt>
              </c:strCache>
            </c:strRef>
          </c:tx>
          <c:invertIfNegative val="0"/>
          <c:cat>
            <c:numRef>
              <c:f>'Report Graphs'!$C$2:$E$2</c:f>
              <c:numCache>
                <c:formatCode>General</c:formatCode>
                <c:ptCount val="3"/>
                <c:pt idx="0">
                  <c:v>10</c:v>
                </c:pt>
                <c:pt idx="1">
                  <c:v>50</c:v>
                </c:pt>
                <c:pt idx="2">
                  <c:v>100</c:v>
                </c:pt>
              </c:numCache>
            </c:numRef>
          </c:cat>
          <c:val>
            <c:numRef>
              <c:f>('Report Tables'!$B$80,'Report Tables'!$D$80,'Report Tables'!$F$80)</c:f>
              <c:numCache>
                <c:formatCode>0.0</c:formatCode>
                <c:ptCount val="3"/>
                <c:pt idx="0">
                  <c:v>8.5133164044744518</c:v>
                </c:pt>
                <c:pt idx="1">
                  <c:v>1.7026632808948903</c:v>
                </c:pt>
                <c:pt idx="2">
                  <c:v>0.85133164044744514</c:v>
                </c:pt>
              </c:numCache>
            </c:numRef>
          </c:val>
        </c:ser>
        <c:ser>
          <c:idx val="3"/>
          <c:order val="2"/>
          <c:tx>
            <c:strRef>
              <c:f>'Report Tables'!$A$54</c:f>
              <c:strCache>
                <c:ptCount val="1"/>
                <c:pt idx="0">
                  <c:v>Marine Operations</c:v>
                </c:pt>
              </c:strCache>
            </c:strRef>
          </c:tx>
          <c:spPr>
            <a:solidFill>
              <a:srgbClr val="FFC000"/>
            </a:solidFill>
          </c:spPr>
          <c:invertIfNegative val="0"/>
          <c:cat>
            <c:numRef>
              <c:f>'Report Graphs'!$C$2:$E$2</c:f>
              <c:numCache>
                <c:formatCode>General</c:formatCode>
                <c:ptCount val="3"/>
                <c:pt idx="0">
                  <c:v>10</c:v>
                </c:pt>
                <c:pt idx="1">
                  <c:v>50</c:v>
                </c:pt>
                <c:pt idx="2">
                  <c:v>100</c:v>
                </c:pt>
              </c:numCache>
            </c:numRef>
          </c:cat>
          <c:val>
            <c:numRef>
              <c:f>('Report Tables'!$B$81,'Report Tables'!$D$81,'Report Tables'!$F$81)</c:f>
              <c:numCache>
                <c:formatCode>0.0</c:formatCode>
                <c:ptCount val="3"/>
                <c:pt idx="0">
                  <c:v>3.464039088717191</c:v>
                </c:pt>
                <c:pt idx="1">
                  <c:v>3.464039088717191</c:v>
                </c:pt>
                <c:pt idx="2">
                  <c:v>3.464039088717191</c:v>
                </c:pt>
              </c:numCache>
            </c:numRef>
          </c:val>
        </c:ser>
        <c:ser>
          <c:idx val="4"/>
          <c:order val="3"/>
          <c:tx>
            <c:strRef>
              <c:f>'Report Tables'!$A$55</c:f>
              <c:strCache>
                <c:ptCount val="1"/>
                <c:pt idx="0">
                  <c:v>Shoreside Operations</c:v>
                </c:pt>
              </c:strCache>
            </c:strRef>
          </c:tx>
          <c:spPr>
            <a:solidFill>
              <a:srgbClr val="00B050"/>
            </a:solidFill>
          </c:spPr>
          <c:invertIfNegative val="0"/>
          <c:cat>
            <c:numRef>
              <c:f>'Report Graphs'!$C$2:$E$2</c:f>
              <c:numCache>
                <c:formatCode>General</c:formatCode>
                <c:ptCount val="3"/>
                <c:pt idx="0">
                  <c:v>10</c:v>
                </c:pt>
                <c:pt idx="1">
                  <c:v>50</c:v>
                </c:pt>
                <c:pt idx="2">
                  <c:v>100</c:v>
                </c:pt>
              </c:numCache>
            </c:numRef>
          </c:cat>
          <c:val>
            <c:numRef>
              <c:f>('Report Tables'!$B$82,'Report Tables'!$D$82,'Report Tables'!$F$82)</c:f>
              <c:numCache>
                <c:formatCode>0.0</c:formatCode>
                <c:ptCount val="3"/>
                <c:pt idx="0">
                  <c:v>2.5833511848060406</c:v>
                </c:pt>
                <c:pt idx="1">
                  <c:v>1.4795556785707324</c:v>
                </c:pt>
                <c:pt idx="2">
                  <c:v>1.3269031085594665</c:v>
                </c:pt>
              </c:numCache>
            </c:numRef>
          </c:val>
        </c:ser>
        <c:ser>
          <c:idx val="5"/>
          <c:order val="4"/>
          <c:tx>
            <c:strRef>
              <c:f>'Report Tables'!$A$56</c:f>
              <c:strCache>
                <c:ptCount val="1"/>
                <c:pt idx="0">
                  <c:v>Replacement Parts</c:v>
                </c:pt>
              </c:strCache>
            </c:strRef>
          </c:tx>
          <c:invertIfNegative val="0"/>
          <c:cat>
            <c:numRef>
              <c:f>'Report Graphs'!$C$2:$E$2</c:f>
              <c:numCache>
                <c:formatCode>General</c:formatCode>
                <c:ptCount val="3"/>
                <c:pt idx="0">
                  <c:v>10</c:v>
                </c:pt>
                <c:pt idx="1">
                  <c:v>50</c:v>
                </c:pt>
                <c:pt idx="2">
                  <c:v>100</c:v>
                </c:pt>
              </c:numCache>
            </c:numRef>
          </c:cat>
          <c:val>
            <c:numRef>
              <c:f>('Report Tables'!$B$83,'Report Tables'!$D$83,'Report Tables'!$F$83)</c:f>
              <c:numCache>
                <c:formatCode>0.0</c:formatCode>
                <c:ptCount val="3"/>
                <c:pt idx="0">
                  <c:v>3.1350148991307836</c:v>
                </c:pt>
                <c:pt idx="1">
                  <c:v>1.8207235662514414</c:v>
                </c:pt>
                <c:pt idx="2">
                  <c:v>1.476908849860971</c:v>
                </c:pt>
              </c:numCache>
            </c:numRef>
          </c:val>
        </c:ser>
        <c:ser>
          <c:idx val="2"/>
          <c:order val="5"/>
          <c:tx>
            <c:strRef>
              <c:f>'Report Tables'!$A$57</c:f>
              <c:strCache>
                <c:ptCount val="1"/>
                <c:pt idx="0">
                  <c:v>Consumables</c:v>
                </c:pt>
              </c:strCache>
            </c:strRef>
          </c:tx>
          <c:invertIfNegative val="0"/>
          <c:cat>
            <c:numRef>
              <c:f>'Report Graphs'!$C$2:$E$2</c:f>
              <c:numCache>
                <c:formatCode>General</c:formatCode>
                <c:ptCount val="3"/>
                <c:pt idx="0">
                  <c:v>10</c:v>
                </c:pt>
                <c:pt idx="1">
                  <c:v>50</c:v>
                </c:pt>
                <c:pt idx="2">
                  <c:v>100</c:v>
                </c:pt>
              </c:numCache>
            </c:numRef>
          </c:cat>
          <c:val>
            <c:numRef>
              <c:f>('Report Tables'!$B$84,'Report Tables'!$D$84,'Report Tables'!$F$84)</c:f>
              <c:numCache>
                <c:formatCode>0.0</c:formatCode>
                <c:ptCount val="3"/>
                <c:pt idx="0">
                  <c:v>0.31350148991307836</c:v>
                </c:pt>
                <c:pt idx="1">
                  <c:v>0.18207235662514415</c:v>
                </c:pt>
                <c:pt idx="2">
                  <c:v>0.14769088498609712</c:v>
                </c:pt>
              </c:numCache>
            </c:numRef>
          </c:val>
        </c:ser>
        <c:dLbls>
          <c:showLegendKey val="0"/>
          <c:showVal val="0"/>
          <c:showCatName val="0"/>
          <c:showSerName val="0"/>
          <c:showPercent val="0"/>
          <c:showBubbleSize val="0"/>
        </c:dLbls>
        <c:gapWidth val="150"/>
        <c:overlap val="100"/>
        <c:axId val="57898112"/>
        <c:axId val="57900032"/>
      </c:barChart>
      <c:catAx>
        <c:axId val="57898112"/>
        <c:scaling>
          <c:orientation val="minMax"/>
        </c:scaling>
        <c:delete val="0"/>
        <c:axPos val="b"/>
        <c:majorGridlines>
          <c:spPr>
            <a:ln>
              <a:solidFill>
                <a:schemeClr val="bg1">
                  <a:lumMod val="85000"/>
                </a:schemeClr>
              </a:solidFill>
            </a:ln>
          </c:spPr>
        </c:majorGridlines>
        <c:title>
          <c:tx>
            <c:rich>
              <a:bodyPr/>
              <a:lstStyle/>
              <a:p>
                <a:pPr>
                  <a:defRPr/>
                </a:pPr>
                <a:r>
                  <a:rPr lang="en-US" baseline="0"/>
                  <a:t># of Units)</a:t>
                </a:r>
              </a:p>
            </c:rich>
          </c:tx>
          <c:overlay val="0"/>
        </c:title>
        <c:numFmt formatCode="0" sourceLinked="0"/>
        <c:majorTickMark val="out"/>
        <c:minorTickMark val="none"/>
        <c:tickLblPos val="nextTo"/>
        <c:crossAx val="57900032"/>
        <c:crosses val="autoZero"/>
        <c:auto val="1"/>
        <c:lblAlgn val="ctr"/>
        <c:lblOffset val="100"/>
        <c:noMultiLvlLbl val="0"/>
      </c:catAx>
      <c:valAx>
        <c:axId val="57900032"/>
        <c:scaling>
          <c:orientation val="minMax"/>
          <c:min val="0"/>
        </c:scaling>
        <c:delete val="0"/>
        <c:axPos val="l"/>
        <c:majorGridlines>
          <c:spPr>
            <a:ln>
              <a:solidFill>
                <a:schemeClr val="bg1">
                  <a:lumMod val="85000"/>
                </a:schemeClr>
              </a:solidFill>
            </a:ln>
          </c:spPr>
        </c:majorGridlines>
        <c:title>
          <c:tx>
            <c:rich>
              <a:bodyPr rot="-5400000" vert="horz"/>
              <a:lstStyle/>
              <a:p>
                <a:pPr>
                  <a:defRPr/>
                </a:pPr>
                <a:r>
                  <a:rPr lang="en-US"/>
                  <a:t>LCoE (cents/kWh)</a:t>
                </a:r>
              </a:p>
            </c:rich>
          </c:tx>
          <c:layout>
            <c:manualLayout>
              <c:xMode val="edge"/>
              <c:yMode val="edge"/>
              <c:x val="9.1848450057405284E-3"/>
              <c:y val="0.31372635021380851"/>
            </c:manualLayout>
          </c:layout>
          <c:overlay val="0"/>
        </c:title>
        <c:numFmt formatCode="0.0" sourceLinked="1"/>
        <c:majorTickMark val="out"/>
        <c:minorTickMark val="none"/>
        <c:tickLblPos val="nextTo"/>
        <c:crossAx val="57898112"/>
        <c:crosses val="autoZero"/>
        <c:crossBetween val="between"/>
      </c:valAx>
    </c:plotArea>
    <c:legend>
      <c:legendPos val="r"/>
      <c:overlay val="0"/>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numRef>
              <c:f>'Report Graphs'!$A$159:$A$163</c:f>
              <c:numCache>
                <c:formatCode>0.00</c:formatCode>
                <c:ptCount val="5"/>
                <c:pt idx="0">
                  <c:v>1.1999999999999997</c:v>
                </c:pt>
                <c:pt idx="1">
                  <c:v>1.3999999999999992</c:v>
                </c:pt>
                <c:pt idx="2">
                  <c:v>1.599999999999999</c:v>
                </c:pt>
                <c:pt idx="3">
                  <c:v>1.8</c:v>
                </c:pt>
                <c:pt idx="4">
                  <c:v>2</c:v>
                </c:pt>
              </c:numCache>
            </c:numRef>
          </c:xVal>
          <c:yVal>
            <c:numRef>
              <c:f>'Report Graphs'!$D$159:$D$163</c:f>
              <c:numCache>
                <c:formatCode>0.00</c:formatCode>
                <c:ptCount val="5"/>
              </c:numCache>
            </c:numRef>
          </c:yVal>
          <c:smooth val="1"/>
        </c:ser>
        <c:ser>
          <c:idx val="1"/>
          <c:order val="1"/>
          <c:xVal>
            <c:numRef>
              <c:f>'Report Graphs'!$A$164</c:f>
              <c:numCache>
                <c:formatCode>0.00</c:formatCode>
                <c:ptCount val="1"/>
              </c:numCache>
            </c:numRef>
          </c:xVal>
          <c:yVal>
            <c:numRef>
              <c:f>'Report Graphs'!$D$164</c:f>
              <c:numCache>
                <c:formatCode>0.00</c:formatCode>
                <c:ptCount val="1"/>
              </c:numCache>
            </c:numRef>
          </c:yVal>
          <c:smooth val="1"/>
        </c:ser>
        <c:dLbls>
          <c:showLegendKey val="0"/>
          <c:showVal val="0"/>
          <c:showCatName val="0"/>
          <c:showSerName val="0"/>
          <c:showPercent val="0"/>
          <c:showBubbleSize val="0"/>
        </c:dLbls>
        <c:axId val="57934208"/>
        <c:axId val="57936128"/>
      </c:scatterChart>
      <c:valAx>
        <c:axId val="57934208"/>
        <c:scaling>
          <c:orientation val="minMax"/>
          <c:min val="1"/>
        </c:scaling>
        <c:delete val="0"/>
        <c:axPos val="b"/>
        <c:majorGridlines>
          <c:spPr>
            <a:ln>
              <a:solidFill>
                <a:schemeClr val="bg1">
                  <a:lumMod val="85000"/>
                </a:schemeClr>
              </a:solidFill>
            </a:ln>
          </c:spPr>
        </c:majorGridlines>
        <c:title>
          <c:tx>
            <c:rich>
              <a:bodyPr/>
              <a:lstStyle/>
              <a:p>
                <a:pPr>
                  <a:defRPr/>
                </a:pPr>
                <a:r>
                  <a:rPr lang="en-US"/>
                  <a:t>Mean Velocity (m/s)</a:t>
                </a:r>
              </a:p>
            </c:rich>
          </c:tx>
          <c:overlay val="0"/>
        </c:title>
        <c:numFmt formatCode="0.00" sourceLinked="1"/>
        <c:majorTickMark val="out"/>
        <c:minorTickMark val="none"/>
        <c:tickLblPos val="nextTo"/>
        <c:crossAx val="57936128"/>
        <c:crosses val="autoZero"/>
        <c:crossBetween val="midCat"/>
      </c:valAx>
      <c:valAx>
        <c:axId val="57936128"/>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CoE (cents/kWh)</a:t>
                </a:r>
              </a:p>
            </c:rich>
          </c:tx>
          <c:overlay val="0"/>
        </c:title>
        <c:numFmt formatCode="0.00" sourceLinked="1"/>
        <c:majorTickMark val="out"/>
        <c:minorTickMark val="none"/>
        <c:tickLblPos val="nextTo"/>
        <c:crossAx val="57934208"/>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marker>
            <c:symbol val="none"/>
          </c:marker>
          <c:xVal>
            <c:numRef>
              <c:f>'Report Graphs'!$C$159:$C$163</c:f>
              <c:numCache>
                <c:formatCode>0.00</c:formatCode>
                <c:ptCount val="5"/>
              </c:numCache>
            </c:numRef>
          </c:xVal>
          <c:yVal>
            <c:numRef>
              <c:f>'Report Graphs'!$D$159:$D$163</c:f>
              <c:numCache>
                <c:formatCode>0.00</c:formatCode>
                <c:ptCount val="5"/>
              </c:numCache>
            </c:numRef>
          </c:yVal>
          <c:smooth val="0"/>
        </c:ser>
        <c:ser>
          <c:idx val="1"/>
          <c:order val="1"/>
          <c:xVal>
            <c:numRef>
              <c:f>'Report Graphs'!$C$164</c:f>
              <c:numCache>
                <c:formatCode>0.00</c:formatCode>
                <c:ptCount val="1"/>
              </c:numCache>
            </c:numRef>
          </c:xVal>
          <c:yVal>
            <c:numRef>
              <c:f>'Report Graphs'!$D$164</c:f>
              <c:numCache>
                <c:formatCode>0.00</c:formatCode>
                <c:ptCount val="1"/>
              </c:numCache>
            </c:numRef>
          </c:yVal>
          <c:smooth val="0"/>
        </c:ser>
        <c:dLbls>
          <c:showLegendKey val="0"/>
          <c:showVal val="0"/>
          <c:showCatName val="0"/>
          <c:showSerName val="0"/>
          <c:showPercent val="0"/>
          <c:showBubbleSize val="0"/>
        </c:dLbls>
        <c:axId val="57965184"/>
        <c:axId val="57975552"/>
      </c:scatterChart>
      <c:valAx>
        <c:axId val="57965184"/>
        <c:scaling>
          <c:orientation val="minMax"/>
        </c:scaling>
        <c:delete val="0"/>
        <c:axPos val="b"/>
        <c:majorGridlines>
          <c:spPr>
            <a:ln>
              <a:solidFill>
                <a:schemeClr val="bg1">
                  <a:lumMod val="85000"/>
                </a:schemeClr>
              </a:solidFill>
            </a:ln>
          </c:spPr>
        </c:majorGridlines>
        <c:title>
          <c:tx>
            <c:rich>
              <a:bodyPr/>
              <a:lstStyle/>
              <a:p>
                <a:pPr>
                  <a:defRPr/>
                </a:pPr>
                <a:r>
                  <a:rPr lang="en-US"/>
                  <a:t>Mean Power</a:t>
                </a:r>
                <a:r>
                  <a:rPr lang="en-US" baseline="0"/>
                  <a:t> Flux</a:t>
                </a:r>
                <a:r>
                  <a:rPr lang="en-US"/>
                  <a:t> (kW/m</a:t>
                </a:r>
                <a:r>
                  <a:rPr lang="en-US" baseline="30000"/>
                  <a:t>2</a:t>
                </a:r>
                <a:r>
                  <a:rPr lang="en-US"/>
                  <a:t>)</a:t>
                </a:r>
              </a:p>
            </c:rich>
          </c:tx>
          <c:overlay val="0"/>
        </c:title>
        <c:numFmt formatCode="0.00" sourceLinked="1"/>
        <c:majorTickMark val="out"/>
        <c:minorTickMark val="none"/>
        <c:tickLblPos val="nextTo"/>
        <c:crossAx val="57975552"/>
        <c:crosses val="autoZero"/>
        <c:crossBetween val="midCat"/>
      </c:valAx>
      <c:valAx>
        <c:axId val="57975552"/>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CoE (cents/kWh)</a:t>
                </a:r>
              </a:p>
            </c:rich>
          </c:tx>
          <c:overlay val="0"/>
        </c:title>
        <c:numFmt formatCode="0.00" sourceLinked="1"/>
        <c:majorTickMark val="out"/>
        <c:minorTickMark val="none"/>
        <c:tickLblPos val="nextTo"/>
        <c:crossAx val="57965184"/>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spPr>
            <a:ln>
              <a:solidFill>
                <a:schemeClr val="accent1"/>
              </a:solidFill>
            </a:ln>
          </c:spPr>
          <c:marker>
            <c:symbol val="none"/>
          </c:marker>
          <c:xVal>
            <c:numRef>
              <c:f>'Report Graphs'!$B$159:$B$163</c:f>
              <c:numCache>
                <c:formatCode>0.00</c:formatCode>
                <c:ptCount val="5"/>
                <c:pt idx="0">
                  <c:v>2.2597810166080361</c:v>
                </c:pt>
                <c:pt idx="1">
                  <c:v>2.6364111860427073</c:v>
                </c:pt>
                <c:pt idx="2">
                  <c:v>3.0130413554773803</c:v>
                </c:pt>
                <c:pt idx="3">
                  <c:v>3.3896715249120541</c:v>
                </c:pt>
                <c:pt idx="4">
                  <c:v>3.7663016943467267</c:v>
                </c:pt>
              </c:numCache>
            </c:numRef>
          </c:xVal>
          <c:yVal>
            <c:numRef>
              <c:f>'Report Graphs'!$D$159:$D$163</c:f>
              <c:numCache>
                <c:formatCode>0.00</c:formatCode>
                <c:ptCount val="5"/>
              </c:numCache>
            </c:numRef>
          </c:yVal>
          <c:smooth val="1"/>
        </c:ser>
        <c:ser>
          <c:idx val="1"/>
          <c:order val="1"/>
          <c:xVal>
            <c:numRef>
              <c:f>'Report Graphs'!$B$164</c:f>
              <c:numCache>
                <c:formatCode>0.00</c:formatCode>
                <c:ptCount val="1"/>
              </c:numCache>
            </c:numRef>
          </c:xVal>
          <c:yVal>
            <c:numRef>
              <c:f>'Report Graphs'!$D$164</c:f>
              <c:numCache>
                <c:formatCode>0.00</c:formatCode>
                <c:ptCount val="1"/>
              </c:numCache>
            </c:numRef>
          </c:yVal>
          <c:smooth val="1"/>
        </c:ser>
        <c:dLbls>
          <c:showLegendKey val="0"/>
          <c:showVal val="0"/>
          <c:showCatName val="0"/>
          <c:showSerName val="0"/>
          <c:showPercent val="0"/>
          <c:showBubbleSize val="0"/>
        </c:dLbls>
        <c:axId val="57996416"/>
        <c:axId val="57998336"/>
      </c:scatterChart>
      <c:valAx>
        <c:axId val="57996416"/>
        <c:scaling>
          <c:orientation val="minMax"/>
          <c:min val="1"/>
        </c:scaling>
        <c:delete val="0"/>
        <c:axPos val="b"/>
        <c:majorGridlines>
          <c:spPr>
            <a:ln>
              <a:solidFill>
                <a:schemeClr val="bg1">
                  <a:lumMod val="85000"/>
                </a:schemeClr>
              </a:solidFill>
            </a:ln>
          </c:spPr>
        </c:majorGridlines>
        <c:title>
          <c:tx>
            <c:rich>
              <a:bodyPr/>
              <a:lstStyle/>
              <a:p>
                <a:pPr>
                  <a:defRPr/>
                </a:pPr>
                <a:r>
                  <a:rPr lang="en-US"/>
                  <a:t>Peak Velocity (m/s)</a:t>
                </a:r>
              </a:p>
            </c:rich>
          </c:tx>
          <c:overlay val="0"/>
        </c:title>
        <c:numFmt formatCode="0.00" sourceLinked="1"/>
        <c:majorTickMark val="out"/>
        <c:minorTickMark val="none"/>
        <c:tickLblPos val="nextTo"/>
        <c:crossAx val="57998336"/>
        <c:crosses val="autoZero"/>
        <c:crossBetween val="midCat"/>
      </c:valAx>
      <c:valAx>
        <c:axId val="57998336"/>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CoE (cents/kWh)</a:t>
                </a:r>
              </a:p>
            </c:rich>
          </c:tx>
          <c:overlay val="0"/>
        </c:title>
        <c:numFmt formatCode="0.00" sourceLinked="1"/>
        <c:majorTickMark val="out"/>
        <c:minorTickMark val="none"/>
        <c:tickLblPos val="nextTo"/>
        <c:crossAx val="57996416"/>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134369</xdr:colOff>
      <xdr:row>13</xdr:row>
      <xdr:rowOff>170089</xdr:rowOff>
    </xdr:from>
    <xdr:to>
      <xdr:col>11</xdr:col>
      <xdr:colOff>335602</xdr:colOff>
      <xdr:row>37</xdr:row>
      <xdr:rowOff>86745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69" y="2646589"/>
          <a:ext cx="6923162" cy="44886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6</xdr:row>
      <xdr:rowOff>57151</xdr:rowOff>
    </xdr:from>
    <xdr:to>
      <xdr:col>10</xdr:col>
      <xdr:colOff>361950</xdr:colOff>
      <xdr:row>25</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11906</xdr:colOff>
      <xdr:row>27</xdr:row>
      <xdr:rowOff>33337</xdr:rowOff>
    </xdr:from>
    <xdr:to>
      <xdr:col>10</xdr:col>
      <xdr:colOff>488156</xdr:colOff>
      <xdr:row>46</xdr:row>
      <xdr:rowOff>152930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38100</xdr:rowOff>
    </xdr:from>
    <xdr:to>
      <xdr:col>10</xdr:col>
      <xdr:colOff>533400</xdr:colOff>
      <xdr:row>67</xdr:row>
      <xdr:rowOff>157693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69</xdr:row>
      <xdr:rowOff>85725</xdr:rowOff>
    </xdr:from>
    <xdr:to>
      <xdr:col>11</xdr:col>
      <xdr:colOff>295275</xdr:colOff>
      <xdr:row>89</xdr:row>
      <xdr:rowOff>14818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89</xdr:row>
      <xdr:rowOff>57150</xdr:rowOff>
    </xdr:from>
    <xdr:to>
      <xdr:col>10</xdr:col>
      <xdr:colOff>476250</xdr:colOff>
      <xdr:row>108</xdr:row>
      <xdr:rowOff>176743</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109</xdr:row>
      <xdr:rowOff>133350</xdr:rowOff>
    </xdr:from>
    <xdr:to>
      <xdr:col>11</xdr:col>
      <xdr:colOff>295275</xdr:colOff>
      <xdr:row>129</xdr:row>
      <xdr:rowOff>62443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142876</xdr:colOff>
      <xdr:row>165</xdr:row>
      <xdr:rowOff>66675</xdr:rowOff>
    </xdr:from>
    <xdr:to>
      <xdr:col>5</xdr:col>
      <xdr:colOff>152401</xdr:colOff>
      <xdr:row>179</xdr:row>
      <xdr:rowOff>142875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171450</xdr:colOff>
      <xdr:row>180</xdr:row>
      <xdr:rowOff>9525</xdr:rowOff>
    </xdr:from>
    <xdr:to>
      <xdr:col>5</xdr:col>
      <xdr:colOff>2801</xdr:colOff>
      <xdr:row>194</xdr:row>
      <xdr:rowOff>85725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152400</xdr:colOff>
      <xdr:row>195</xdr:row>
      <xdr:rowOff>76200</xdr:rowOff>
    </xdr:from>
    <xdr:to>
      <xdr:col>5</xdr:col>
      <xdr:colOff>352425</xdr:colOff>
      <xdr:row>211</xdr:row>
      <xdr:rowOff>85725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absoluteAnchor>
    <xdr:pos x="0" y="42786301"/>
    <xdr:ext cx="6867525" cy="3790950"/>
    <xdr:graphicFrame macro="">
      <xdr:nvGraphicFramePr>
        <xdr:cNvPr id="12" name="Chart 1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absoluteAnchor>
  <xdr:twoCellAnchor>
    <xdr:from>
      <xdr:col>0</xdr:col>
      <xdr:colOff>0</xdr:colOff>
      <xdr:row>131</xdr:row>
      <xdr:rowOff>47625</xdr:rowOff>
    </xdr:from>
    <xdr:to>
      <xdr:col>11</xdr:col>
      <xdr:colOff>66675</xdr:colOff>
      <xdr:row>150</xdr:row>
      <xdr:rowOff>167218</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22</xdr:row>
          <xdr:rowOff>0</xdr:rowOff>
        </xdr:from>
        <xdr:to>
          <xdr:col>9</xdr:col>
          <xdr:colOff>495300</xdr:colOff>
          <xdr:row>22</xdr:row>
          <xdr:rowOff>0</xdr:rowOff>
        </xdr:to>
        <xdr:sp macro="" textlink="">
          <xdr:nvSpPr>
            <xdr:cNvPr id="29697" name="CommandButton1" hidden="1">
              <a:extLst>
                <a:ext uri="{63B3BB69-23CF-44E3-9099-C40C66FF867C}">
                  <a14:compatExt spid="_x0000_s29697"/>
                </a:ext>
              </a:extLst>
            </xdr:cNvPr>
            <xdr:cNvSpPr/>
          </xdr:nvSpPr>
          <xdr:spPr>
            <a:xfrm>
              <a:off x="0" y="0"/>
              <a:ext cx="0" cy="0"/>
            </a:xfrm>
            <a:prstGeom prst="rect">
              <a:avLst/>
            </a:prstGeom>
          </xdr:spPr>
        </xdr:sp>
        <xdr:clientData fLocksWithSheet="0"/>
      </xdr:twoCellAnchor>
    </mc:Choice>
    <mc:Fallback/>
  </mc:AlternateContent>
  <xdr:twoCellAnchor>
    <xdr:from>
      <xdr:col>15</xdr:col>
      <xdr:colOff>14552</xdr:colOff>
      <xdr:row>23</xdr:row>
      <xdr:rowOff>55165</xdr:rowOff>
    </xdr:from>
    <xdr:to>
      <xdr:col>25</xdr:col>
      <xdr:colOff>252678</xdr:colOff>
      <xdr:row>43</xdr:row>
      <xdr:rowOff>127000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466724</xdr:colOff>
      <xdr:row>1</xdr:row>
      <xdr:rowOff>47624</xdr:rowOff>
    </xdr:from>
    <xdr:to>
      <xdr:col>21</xdr:col>
      <xdr:colOff>79374</xdr:colOff>
      <xdr:row>33</xdr:row>
      <xdr:rowOff>158749</xdr:rowOff>
    </xdr:to>
    <xdr:pic>
      <xdr:nvPicPr>
        <xdr:cNvPr id="4" name="Picture 3"/>
        <xdr:cNvPicPr/>
      </xdr:nvPicPr>
      <xdr:blipFill>
        <a:blip xmlns:r="http://schemas.openxmlformats.org/officeDocument/2006/relationships" r:embed="rId1"/>
        <a:srcRect/>
        <a:stretch>
          <a:fillRect/>
        </a:stretch>
      </xdr:blipFill>
      <xdr:spPr bwMode="auto">
        <a:xfrm>
          <a:off x="10340974" y="238124"/>
          <a:ext cx="7454900" cy="62071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Tidal%20Energy%20Reference%20Model%201/Tidal%20Performanc%20&amp;%20Economic%20Model/3-31-2011%20Final%20Results/Previous%20Work/MCT%20Model%20Short%20MP%2004-29-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rojects/SnoPUD/Resource%20Measurements/AI_AH_ADCP_new/AI_AH_1_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rko/AppData/Local/Microsoft/Windows/Temporary%20Internet%20Files/Content.Outlook/HQ0EO667/OCT%20Cost%20JE%206-10-2012v3%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Reporting"/>
      <sheetName val="Energy Model"/>
      <sheetName val="COE Model"/>
      <sheetName val="Cost Functions"/>
    </sheetNames>
    <sheetDataSet>
      <sheetData sheetId="0" refreshError="1">
        <row r="4">
          <cell r="K4">
            <v>55</v>
          </cell>
        </row>
        <row r="6">
          <cell r="K6">
            <v>0.95</v>
          </cell>
        </row>
        <row r="9">
          <cell r="K9">
            <v>9000</v>
          </cell>
        </row>
        <row r="10">
          <cell r="E10">
            <v>17</v>
          </cell>
        </row>
        <row r="11">
          <cell r="E11">
            <v>0.45</v>
          </cell>
          <cell r="K11">
            <v>22750</v>
          </cell>
        </row>
        <row r="12">
          <cell r="E12">
            <v>0.7</v>
          </cell>
        </row>
        <row r="13">
          <cell r="K13">
            <v>0</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AI_AH_ADCP_1_2007"/>
    </sheetNames>
    <sheetDataSet>
      <sheetData sheetId="0">
        <row r="2">
          <cell r="B2">
            <v>1024</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Graphs"/>
      <sheetName val="CAPEX_S-Curve"/>
      <sheetName val="Report"/>
      <sheetName val="DB"/>
      <sheetName val="Inupt Screen Database"/>
      <sheetName val="Tables"/>
      <sheetName val="CAPEX_MonteCarlo_simulation"/>
      <sheetName val="Econ IO"/>
      <sheetName val="Sensitivity"/>
      <sheetName val="Energy IO"/>
      <sheetName val="Energy Model"/>
      <sheetName val="Non-Utility Model"/>
      <sheetName val="Non-Utility Model no taxes"/>
      <sheetName val="Utility Model"/>
      <sheetName val="Sheet1"/>
    </sheetNames>
    <sheetDataSet>
      <sheetData sheetId="0" refreshError="1">
        <row r="10">
          <cell r="E10">
            <v>1</v>
          </cell>
        </row>
        <row r="11">
          <cell r="E11">
            <v>350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irko@re-vision.ne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zoomScale="70" zoomScaleNormal="70" workbookViewId="0">
      <selection activeCell="A2" sqref="A2"/>
    </sheetView>
  </sheetViews>
  <sheetFormatPr defaultRowHeight="14.4" x14ac:dyDescent="0.3"/>
  <cols>
    <col min="1" max="1" width="3.6640625" customWidth="1"/>
    <col min="2" max="2" width="12.6640625" customWidth="1"/>
    <col min="3" max="3" width="11" customWidth="1"/>
  </cols>
  <sheetData>
    <row r="1" spans="1:4" x14ac:dyDescent="0.25">
      <c r="A1" s="60" t="s">
        <v>310</v>
      </c>
    </row>
    <row r="3" spans="1:4" x14ac:dyDescent="0.25">
      <c r="A3" t="s">
        <v>187</v>
      </c>
      <c r="C3" t="s">
        <v>183</v>
      </c>
    </row>
    <row r="4" spans="1:4" x14ac:dyDescent="0.25">
      <c r="A4" t="s">
        <v>184</v>
      </c>
      <c r="C4" t="s">
        <v>259</v>
      </c>
    </row>
    <row r="5" spans="1:4" x14ac:dyDescent="0.25">
      <c r="A5" t="s">
        <v>185</v>
      </c>
      <c r="C5" s="121" t="s">
        <v>186</v>
      </c>
    </row>
    <row r="6" spans="1:4" x14ac:dyDescent="0.25">
      <c r="A6" t="s">
        <v>188</v>
      </c>
      <c r="C6" s="122">
        <v>41127</v>
      </c>
    </row>
    <row r="8" spans="1:4" x14ac:dyDescent="0.25">
      <c r="A8" t="s">
        <v>104</v>
      </c>
    </row>
    <row r="9" spans="1:4" x14ac:dyDescent="0.25">
      <c r="B9" t="s">
        <v>311</v>
      </c>
    </row>
    <row r="10" spans="1:4" x14ac:dyDescent="0.25">
      <c r="B10" t="s">
        <v>312</v>
      </c>
    </row>
    <row r="11" spans="1:4" x14ac:dyDescent="0.25">
      <c r="B11" t="s">
        <v>190</v>
      </c>
    </row>
    <row r="12" spans="1:4" s="240" customFormat="1" x14ac:dyDescent="0.25">
      <c r="B12" s="245"/>
      <c r="C12" s="244"/>
      <c r="D12" s="244"/>
    </row>
    <row r="13" spans="1:4" x14ac:dyDescent="0.25">
      <c r="A13" t="s">
        <v>189</v>
      </c>
    </row>
  </sheetData>
  <hyperlinks>
    <hyperlink ref="C5"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43"/>
  <sheetViews>
    <sheetView zoomScale="70" zoomScaleNormal="70" workbookViewId="0">
      <selection activeCell="B45" sqref="B45"/>
    </sheetView>
  </sheetViews>
  <sheetFormatPr defaultRowHeight="14.4" x14ac:dyDescent="0.3"/>
  <cols>
    <col min="1" max="1" width="5.88671875" customWidth="1"/>
    <col min="2" max="2" width="5.6640625" customWidth="1"/>
    <col min="3" max="3" width="53.5546875" customWidth="1"/>
    <col min="4" max="4" width="11.44140625" customWidth="1"/>
    <col min="5" max="5" width="15" bestFit="1" customWidth="1"/>
    <col min="6" max="7" width="16.109375" bestFit="1" customWidth="1"/>
    <col min="8" max="8" width="17.33203125" bestFit="1" customWidth="1"/>
  </cols>
  <sheetData>
    <row r="1" spans="1:10" x14ac:dyDescent="0.25">
      <c r="A1" s="535" t="s">
        <v>365</v>
      </c>
      <c r="B1" s="67"/>
      <c r="C1" s="67"/>
      <c r="D1" s="67"/>
      <c r="E1" s="67"/>
      <c r="F1" s="67"/>
      <c r="G1" s="67"/>
      <c r="H1" s="67"/>
      <c r="I1" s="67"/>
      <c r="J1" s="67"/>
    </row>
    <row r="2" spans="1:10" x14ac:dyDescent="0.25">
      <c r="A2" s="67"/>
      <c r="B2" s="67"/>
      <c r="C2" s="67"/>
      <c r="D2" s="67"/>
      <c r="E2" s="67"/>
      <c r="F2" s="67"/>
      <c r="G2" s="67"/>
      <c r="H2" s="67"/>
      <c r="I2" s="67"/>
      <c r="J2" s="67"/>
    </row>
    <row r="3" spans="1:10" x14ac:dyDescent="0.25">
      <c r="A3" s="60" t="s">
        <v>117</v>
      </c>
      <c r="B3" s="67"/>
      <c r="C3" s="67"/>
      <c r="D3" s="67" t="s">
        <v>68</v>
      </c>
      <c r="E3" s="67">
        <v>1</v>
      </c>
      <c r="F3" s="67">
        <v>10</v>
      </c>
      <c r="G3" s="67">
        <v>50</v>
      </c>
      <c r="H3" s="67">
        <v>100</v>
      </c>
      <c r="I3" s="67"/>
      <c r="J3" s="67"/>
    </row>
    <row r="4" spans="1:10" x14ac:dyDescent="0.25">
      <c r="A4" s="60"/>
      <c r="B4" s="67" t="s">
        <v>20</v>
      </c>
      <c r="C4" s="67" t="s">
        <v>21</v>
      </c>
      <c r="D4" s="67"/>
      <c r="E4" s="42">
        <f>E18*E3</f>
        <v>12000</v>
      </c>
      <c r="F4" s="42">
        <f t="shared" ref="F4:H4" si="0">F18</f>
        <v>120000</v>
      </c>
      <c r="G4" s="42">
        <f t="shared" si="0"/>
        <v>600000</v>
      </c>
      <c r="H4" s="42">
        <f t="shared" si="0"/>
        <v>1200000</v>
      </c>
      <c r="I4" s="67"/>
      <c r="J4" s="67"/>
    </row>
    <row r="5" spans="1:10" x14ac:dyDescent="0.25">
      <c r="A5" s="60"/>
      <c r="B5" s="67" t="s">
        <v>22</v>
      </c>
      <c r="C5" s="67" t="s">
        <v>23</v>
      </c>
      <c r="D5" s="67"/>
      <c r="E5" s="42">
        <f>E25</f>
        <v>8000</v>
      </c>
      <c r="F5" s="42">
        <f t="shared" ref="F5:H5" si="1">F25</f>
        <v>80000</v>
      </c>
      <c r="G5" s="42">
        <f t="shared" si="1"/>
        <v>400000</v>
      </c>
      <c r="H5" s="42">
        <f t="shared" si="1"/>
        <v>800000</v>
      </c>
      <c r="I5" s="67"/>
      <c r="J5" s="67"/>
    </row>
    <row r="6" spans="1:10" x14ac:dyDescent="0.25">
      <c r="A6" s="60"/>
      <c r="B6" s="67" t="s">
        <v>24</v>
      </c>
      <c r="C6" s="533" t="s">
        <v>25</v>
      </c>
      <c r="D6" s="67"/>
      <c r="E6" s="353">
        <v>0</v>
      </c>
      <c r="F6" s="353">
        <v>0</v>
      </c>
      <c r="G6" s="353">
        <v>0</v>
      </c>
      <c r="H6" s="353">
        <v>0</v>
      </c>
      <c r="I6" s="67"/>
      <c r="J6" s="67"/>
    </row>
    <row r="7" spans="1:10" x14ac:dyDescent="0.25">
      <c r="A7" s="60"/>
      <c r="B7" s="67" t="s">
        <v>26</v>
      </c>
      <c r="C7" s="523" t="s">
        <v>27</v>
      </c>
      <c r="D7" s="67"/>
      <c r="E7" s="42">
        <f>E32</f>
        <v>1700</v>
      </c>
      <c r="F7" s="598">
        <f t="shared" ref="F7:H7" si="2">F32</f>
        <v>17000</v>
      </c>
      <c r="G7" s="598">
        <f t="shared" si="2"/>
        <v>85000</v>
      </c>
      <c r="H7" s="598">
        <f t="shared" si="2"/>
        <v>170000</v>
      </c>
      <c r="I7" s="67"/>
      <c r="J7" s="67"/>
    </row>
    <row r="8" spans="1:10" x14ac:dyDescent="0.25">
      <c r="A8" s="60"/>
      <c r="B8" s="67" t="s">
        <v>28</v>
      </c>
      <c r="C8" s="523" t="s">
        <v>18</v>
      </c>
      <c r="D8" s="67"/>
      <c r="E8" s="353"/>
      <c r="F8" s="353"/>
      <c r="G8" s="353"/>
      <c r="H8" s="353"/>
      <c r="I8" s="67"/>
      <c r="J8" s="67"/>
    </row>
    <row r="9" spans="1:10" x14ac:dyDescent="0.25">
      <c r="A9" s="60"/>
      <c r="B9" s="67"/>
      <c r="C9" s="67"/>
      <c r="D9" s="42"/>
      <c r="E9" s="42"/>
      <c r="F9" s="42"/>
      <c r="G9" s="42"/>
      <c r="H9" s="67"/>
      <c r="I9" s="67"/>
      <c r="J9" s="67"/>
    </row>
    <row r="10" spans="1:10" x14ac:dyDescent="0.25">
      <c r="A10" s="60"/>
      <c r="B10" s="20" t="s">
        <v>86</v>
      </c>
      <c r="C10" s="20"/>
      <c r="D10" s="21"/>
      <c r="E10" s="354">
        <f>SUM(E4:E8)</f>
        <v>21700</v>
      </c>
      <c r="F10" s="354">
        <f t="shared" ref="F10:H10" si="3">SUM(F4:F8)</f>
        <v>217000</v>
      </c>
      <c r="G10" s="354">
        <f t="shared" si="3"/>
        <v>1085000</v>
      </c>
      <c r="H10" s="354">
        <f t="shared" si="3"/>
        <v>2170000</v>
      </c>
      <c r="I10" s="67"/>
      <c r="J10" s="67"/>
    </row>
    <row r="11" spans="1:10" x14ac:dyDescent="0.25">
      <c r="A11" s="60"/>
      <c r="B11" s="67"/>
      <c r="C11" s="67"/>
      <c r="D11" s="42"/>
      <c r="E11" s="42"/>
      <c r="F11" s="42"/>
      <c r="G11" s="42"/>
      <c r="H11" s="67"/>
      <c r="I11" s="67"/>
      <c r="J11" s="67"/>
    </row>
    <row r="12" spans="1:10" s="533" customFormat="1" x14ac:dyDescent="0.25">
      <c r="A12" s="535"/>
      <c r="D12" s="549"/>
      <c r="E12" s="549"/>
      <c r="F12" s="549"/>
      <c r="G12" s="549"/>
    </row>
    <row r="13" spans="1:10" s="533" customFormat="1" x14ac:dyDescent="0.25">
      <c r="A13" s="535"/>
      <c r="D13" s="549"/>
      <c r="E13" s="549"/>
      <c r="F13" s="549"/>
      <c r="G13" s="549"/>
    </row>
    <row r="14" spans="1:10" x14ac:dyDescent="0.25">
      <c r="A14" s="60" t="s">
        <v>149</v>
      </c>
      <c r="E14" s="86" t="s">
        <v>91</v>
      </c>
      <c r="F14" s="110" t="s">
        <v>114</v>
      </c>
      <c r="G14" s="498" t="s">
        <v>116</v>
      </c>
      <c r="H14" s="498" t="s">
        <v>115</v>
      </c>
    </row>
    <row r="15" spans="1:10" s="533" customFormat="1" x14ac:dyDescent="0.25">
      <c r="A15" s="535"/>
    </row>
    <row r="16" spans="1:10" s="533" customFormat="1" x14ac:dyDescent="0.25">
      <c r="A16" s="535"/>
      <c r="B16" s="533" t="s">
        <v>506</v>
      </c>
      <c r="E16" s="489">
        <v>12000</v>
      </c>
      <c r="F16" s="489">
        <f>E16*10</f>
        <v>120000</v>
      </c>
      <c r="G16" s="489">
        <f>F16*5</f>
        <v>600000</v>
      </c>
      <c r="H16" s="489">
        <f>G16*2</f>
        <v>1200000</v>
      </c>
    </row>
    <row r="17" spans="1:9" s="72" customFormat="1" x14ac:dyDescent="0.25"/>
    <row r="18" spans="1:9" s="72" customFormat="1" x14ac:dyDescent="0.25">
      <c r="B18" s="20" t="s">
        <v>86</v>
      </c>
      <c r="C18" s="20"/>
      <c r="D18" s="20"/>
      <c r="E18" s="118">
        <f>E16</f>
        <v>12000</v>
      </c>
      <c r="F18" s="118">
        <f t="shared" ref="F18:H18" si="4">F16</f>
        <v>120000</v>
      </c>
      <c r="G18" s="118">
        <f t="shared" si="4"/>
        <v>600000</v>
      </c>
      <c r="H18" s="118">
        <f t="shared" si="4"/>
        <v>1200000</v>
      </c>
    </row>
    <row r="19" spans="1:9" s="533" customFormat="1" x14ac:dyDescent="0.25">
      <c r="B19" s="534"/>
      <c r="C19" s="534"/>
      <c r="D19" s="534"/>
      <c r="E19" s="546"/>
      <c r="F19" s="546"/>
      <c r="G19" s="546"/>
      <c r="H19" s="546"/>
    </row>
    <row r="21" spans="1:9" x14ac:dyDescent="0.25">
      <c r="A21" s="60" t="s">
        <v>150</v>
      </c>
      <c r="E21" s="86" t="s">
        <v>91</v>
      </c>
      <c r="F21" s="110" t="s">
        <v>114</v>
      </c>
      <c r="G21" s="498" t="s">
        <v>116</v>
      </c>
      <c r="H21" s="498" t="s">
        <v>115</v>
      </c>
    </row>
    <row r="22" spans="1:9" s="533" customFormat="1" x14ac:dyDescent="0.25">
      <c r="A22" s="535"/>
    </row>
    <row r="23" spans="1:9" s="533" customFormat="1" x14ac:dyDescent="0.25">
      <c r="A23" s="535"/>
      <c r="B23" s="533" t="s">
        <v>507</v>
      </c>
      <c r="E23" s="489">
        <v>8000</v>
      </c>
      <c r="F23" s="489">
        <f>E23*10</f>
        <v>80000</v>
      </c>
      <c r="G23" s="489">
        <f>F23*5</f>
        <v>400000</v>
      </c>
      <c r="H23" s="489">
        <f>G23*2</f>
        <v>800000</v>
      </c>
    </row>
    <row r="24" spans="1:9" s="72" customFormat="1" x14ac:dyDescent="0.25">
      <c r="E24" s="42"/>
      <c r="F24" s="42"/>
      <c r="G24" s="42"/>
      <c r="H24" s="42"/>
    </row>
    <row r="25" spans="1:9" s="72" customFormat="1" x14ac:dyDescent="0.25">
      <c r="B25" s="20" t="s">
        <v>86</v>
      </c>
      <c r="C25" s="20"/>
      <c r="D25" s="20"/>
      <c r="E25" s="118">
        <f>E23</f>
        <v>8000</v>
      </c>
      <c r="F25" s="118">
        <f t="shared" ref="F25:H25" si="5">F23</f>
        <v>80000</v>
      </c>
      <c r="G25" s="118">
        <f t="shared" si="5"/>
        <v>400000</v>
      </c>
      <c r="H25" s="118">
        <f t="shared" si="5"/>
        <v>800000</v>
      </c>
      <c r="I25" s="31"/>
    </row>
    <row r="26" spans="1:9" s="72" customFormat="1" x14ac:dyDescent="0.25">
      <c r="E26" s="42"/>
      <c r="F26" s="42"/>
      <c r="G26" s="42"/>
      <c r="H26" s="42"/>
    </row>
    <row r="28" spans="1:9" x14ac:dyDescent="0.25">
      <c r="A28" s="60" t="s">
        <v>151</v>
      </c>
      <c r="E28" s="86" t="s">
        <v>91</v>
      </c>
      <c r="F28" s="110" t="s">
        <v>114</v>
      </c>
      <c r="G28" s="498" t="s">
        <v>116</v>
      </c>
      <c r="H28" s="498" t="s">
        <v>115</v>
      </c>
    </row>
    <row r="29" spans="1:9" s="533" customFormat="1" x14ac:dyDescent="0.25">
      <c r="A29" s="535"/>
    </row>
    <row r="30" spans="1:9" s="533" customFormat="1" x14ac:dyDescent="0.25">
      <c r="A30" s="535"/>
      <c r="B30" s="533" t="s">
        <v>508</v>
      </c>
      <c r="E30" s="489">
        <v>1700</v>
      </c>
      <c r="F30" s="489">
        <f>E30*10</f>
        <v>17000</v>
      </c>
      <c r="G30" s="489">
        <f>F30*5</f>
        <v>85000</v>
      </c>
      <c r="H30" s="489">
        <f>G30*2</f>
        <v>170000</v>
      </c>
    </row>
    <row r="32" spans="1:9" x14ac:dyDescent="0.25">
      <c r="B32" s="20" t="s">
        <v>86</v>
      </c>
      <c r="C32" s="20"/>
      <c r="D32" s="20"/>
      <c r="E32" s="118">
        <f>E30</f>
        <v>1700</v>
      </c>
      <c r="F32" s="118">
        <f t="shared" ref="F32:H32" si="6">F30</f>
        <v>17000</v>
      </c>
      <c r="G32" s="118">
        <f t="shared" si="6"/>
        <v>85000</v>
      </c>
      <c r="H32" s="118">
        <f t="shared" si="6"/>
        <v>170000</v>
      </c>
    </row>
    <row r="33" spans="1:14" s="533" customFormat="1" x14ac:dyDescent="0.25">
      <c r="B33" s="534"/>
      <c r="C33" s="534"/>
      <c r="D33" s="534"/>
      <c r="E33" s="546"/>
      <c r="F33" s="546"/>
      <c r="G33" s="546"/>
      <c r="H33" s="546"/>
    </row>
    <row r="35" spans="1:14" s="317" customFormat="1" x14ac:dyDescent="0.25">
      <c r="A35" s="241" t="s">
        <v>170</v>
      </c>
    </row>
    <row r="36" spans="1:14" s="317" customFormat="1" x14ac:dyDescent="0.25">
      <c r="A36" s="317" t="s">
        <v>20</v>
      </c>
      <c r="B36" s="317" t="s">
        <v>546</v>
      </c>
    </row>
    <row r="37" spans="1:14" s="317" customFormat="1" x14ac:dyDescent="0.25">
      <c r="A37" s="317" t="s">
        <v>22</v>
      </c>
      <c r="B37" s="317" t="s">
        <v>546</v>
      </c>
      <c r="C37" s="533"/>
    </row>
    <row r="38" spans="1:14" s="317" customFormat="1" x14ac:dyDescent="0.25">
      <c r="A38" s="317" t="s">
        <v>24</v>
      </c>
      <c r="B38" s="317" t="s">
        <v>546</v>
      </c>
      <c r="C38" s="533"/>
    </row>
    <row r="39" spans="1:14" s="317" customFormat="1" x14ac:dyDescent="0.25"/>
    <row r="40" spans="1:14" s="317" customFormat="1" x14ac:dyDescent="0.25">
      <c r="A40" s="241" t="s">
        <v>283</v>
      </c>
    </row>
    <row r="41" spans="1:14" s="317" customFormat="1" x14ac:dyDescent="0.25">
      <c r="A41" s="533" t="s">
        <v>20</v>
      </c>
      <c r="B41" s="317" t="s">
        <v>375</v>
      </c>
      <c r="N41" s="242"/>
    </row>
    <row r="42" spans="1:14" s="317" customFormat="1" x14ac:dyDescent="0.25">
      <c r="A42" s="533" t="s">
        <v>22</v>
      </c>
      <c r="B42" s="662" t="s">
        <v>375</v>
      </c>
    </row>
    <row r="43" spans="1:14" s="317" customFormat="1" x14ac:dyDescent="0.25">
      <c r="A43" s="533" t="s">
        <v>24</v>
      </c>
      <c r="B43" s="662" t="s">
        <v>375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73"/>
  <sheetViews>
    <sheetView topLeftCell="A13" zoomScale="70" zoomScaleNormal="70" workbookViewId="0">
      <selection activeCell="E69" sqref="E69"/>
    </sheetView>
  </sheetViews>
  <sheetFormatPr defaultColWidth="9.109375" defaultRowHeight="14.4" x14ac:dyDescent="0.3"/>
  <cols>
    <col min="1" max="1" width="7.109375" style="12" customWidth="1"/>
    <col min="2" max="2" width="3.5546875" style="12" customWidth="1"/>
    <col min="3" max="3" width="7.109375" style="12" customWidth="1"/>
    <col min="4" max="4" width="40.6640625" style="12" bestFit="1" customWidth="1"/>
    <col min="5" max="5" width="15.109375" style="12" bestFit="1" customWidth="1"/>
    <col min="6" max="6" width="17.88671875" style="12" customWidth="1"/>
    <col min="7" max="7" width="18.5546875" style="12" customWidth="1"/>
    <col min="8" max="8" width="16.33203125" style="12" bestFit="1" customWidth="1"/>
    <col min="9" max="9" width="17.109375" style="12" bestFit="1" customWidth="1"/>
    <col min="10" max="10" width="12" style="12" customWidth="1"/>
    <col min="11" max="11" width="11.88671875" style="12" customWidth="1"/>
    <col min="12" max="12" width="16.33203125" style="12" bestFit="1" customWidth="1"/>
    <col min="13" max="13" width="10.5546875" style="12" customWidth="1"/>
    <col min="14" max="15" width="9.109375" style="12"/>
    <col min="16" max="17" width="8.88671875" customWidth="1"/>
    <col min="18" max="16384" width="9.109375" style="12"/>
  </cols>
  <sheetData>
    <row r="1" spans="1:22" ht="15" x14ac:dyDescent="0.25">
      <c r="A1" s="535" t="s">
        <v>366</v>
      </c>
      <c r="P1" s="12"/>
      <c r="Q1" s="12"/>
    </row>
    <row r="2" spans="1:22" ht="15" x14ac:dyDescent="0.25">
      <c r="A2" s="15"/>
      <c r="P2" s="12"/>
      <c r="Q2" s="12"/>
    </row>
    <row r="3" spans="1:22" ht="15" x14ac:dyDescent="0.25">
      <c r="A3" s="13" t="s">
        <v>117</v>
      </c>
      <c r="E3" s="12">
        <v>1</v>
      </c>
      <c r="F3" s="12">
        <v>10</v>
      </c>
      <c r="G3" s="12">
        <v>50</v>
      </c>
      <c r="H3" s="12">
        <v>100</v>
      </c>
      <c r="I3" s="243" t="s">
        <v>118</v>
      </c>
      <c r="P3" s="12"/>
      <c r="Q3" s="12"/>
    </row>
    <row r="4" spans="1:22" ht="15" x14ac:dyDescent="0.25">
      <c r="A4" s="15"/>
      <c r="B4" s="12" t="s">
        <v>30</v>
      </c>
      <c r="D4" s="12" t="s">
        <v>322</v>
      </c>
      <c r="E4" s="112">
        <f>F21</f>
        <v>116870.47750382309</v>
      </c>
      <c r="F4" s="112">
        <f>G21*10</f>
        <v>835178.77168569376</v>
      </c>
      <c r="G4" s="112">
        <f>H21*50</f>
        <v>3723047.1499964697</v>
      </c>
      <c r="H4" s="112">
        <f>I21*100</f>
        <v>7257214.9586407626</v>
      </c>
      <c r="I4" s="58">
        <f>E23</f>
        <v>25.28</v>
      </c>
      <c r="P4" s="12"/>
      <c r="Q4" s="12"/>
    </row>
    <row r="5" spans="1:22" ht="15" x14ac:dyDescent="0.25">
      <c r="A5" s="15"/>
      <c r="B5" s="12" t="s">
        <v>31</v>
      </c>
      <c r="D5" s="67" t="s">
        <v>323</v>
      </c>
      <c r="E5" s="112">
        <f>F34</f>
        <v>105714.41647475585</v>
      </c>
      <c r="F5" s="112">
        <f>G34*10</f>
        <v>724409.96017336485</v>
      </c>
      <c r="G5" s="112">
        <f>H34*50</f>
        <v>3120511.7602558308</v>
      </c>
      <c r="H5" s="112">
        <f>I34*100</f>
        <v>5978564.037810347</v>
      </c>
      <c r="I5" s="58">
        <f>E36</f>
        <v>11.14</v>
      </c>
      <c r="P5" s="12"/>
      <c r="Q5" s="12"/>
    </row>
    <row r="6" spans="1:22" ht="15" x14ac:dyDescent="0.25">
      <c r="A6" s="15"/>
      <c r="B6" s="12" t="s">
        <v>32</v>
      </c>
      <c r="D6" s="67" t="s">
        <v>324</v>
      </c>
      <c r="E6" s="112">
        <f>F46</f>
        <v>46202.332717884434</v>
      </c>
      <c r="F6" s="112">
        <f>G46*10</f>
        <v>325561.44214724028</v>
      </c>
      <c r="G6" s="112">
        <f>H46*50</f>
        <v>1429926.5839626726</v>
      </c>
      <c r="H6" s="112">
        <f>I46*100</f>
        <v>2766176.3009394985</v>
      </c>
      <c r="I6" s="58">
        <f>E48</f>
        <v>6.51</v>
      </c>
      <c r="P6" s="12"/>
      <c r="Q6" s="12"/>
    </row>
    <row r="7" spans="1:22" ht="15" x14ac:dyDescent="0.25">
      <c r="A7" s="15"/>
      <c r="B7" s="12" t="s">
        <v>33</v>
      </c>
      <c r="D7" s="67" t="str">
        <f>B51</f>
        <v>Device Access (Railings, Ladders, etc)</v>
      </c>
      <c r="E7" s="117">
        <f>F56</f>
        <v>26878.722669646344</v>
      </c>
      <c r="F7" s="112">
        <f>G56*10</f>
        <v>188515.01740062988</v>
      </c>
      <c r="G7" s="112">
        <f>H56*50</f>
        <v>827348.54942149739</v>
      </c>
      <c r="H7" s="112">
        <f>I56*100</f>
        <v>1600195.5297390609</v>
      </c>
      <c r="I7" s="58">
        <f>E58</f>
        <v>4.2930000000000001</v>
      </c>
      <c r="P7" s="12"/>
      <c r="Q7" s="12"/>
    </row>
    <row r="8" spans="1:22" ht="15" x14ac:dyDescent="0.25">
      <c r="A8" s="15"/>
      <c r="B8" s="12" t="s">
        <v>76</v>
      </c>
      <c r="D8" s="67"/>
      <c r="E8" s="117"/>
      <c r="F8" s="117"/>
      <c r="G8" s="117"/>
      <c r="H8" s="117"/>
      <c r="I8" s="58">
        <f>E60</f>
        <v>0</v>
      </c>
      <c r="P8" s="12"/>
      <c r="Q8" s="12"/>
    </row>
    <row r="9" spans="1:22" ht="15" x14ac:dyDescent="0.25">
      <c r="A9" s="15"/>
      <c r="E9" s="112"/>
      <c r="F9" s="112"/>
      <c r="G9" s="112"/>
      <c r="H9" s="112"/>
      <c r="P9" s="12"/>
      <c r="Q9" s="12"/>
    </row>
    <row r="10" spans="1:22" ht="15" x14ac:dyDescent="0.25">
      <c r="A10" s="15"/>
      <c r="C10" s="20" t="s">
        <v>86</v>
      </c>
      <c r="D10" s="20"/>
      <c r="E10" s="114">
        <f>SUM(E4:E8)</f>
        <v>295665.94936610968</v>
      </c>
      <c r="F10" s="114">
        <f t="shared" ref="F10:H10" si="0">SUM(F4:F8)</f>
        <v>2073665.1914069287</v>
      </c>
      <c r="G10" s="114">
        <f t="shared" si="0"/>
        <v>9100834.043636471</v>
      </c>
      <c r="H10" s="114">
        <f t="shared" si="0"/>
        <v>17602150.827129669</v>
      </c>
      <c r="I10" s="22">
        <f>SUM(I4:I8)</f>
        <v>47.222999999999999</v>
      </c>
      <c r="K10" s="534"/>
      <c r="L10" s="534"/>
      <c r="M10" s="534"/>
      <c r="N10" s="534"/>
      <c r="O10" s="534"/>
      <c r="P10" s="534"/>
      <c r="Q10" s="534"/>
      <c r="R10" s="534"/>
      <c r="S10" s="534"/>
      <c r="T10" s="534"/>
      <c r="U10" s="534"/>
      <c r="V10" s="534"/>
    </row>
    <row r="11" spans="1:22" ht="15" x14ac:dyDescent="0.25">
      <c r="B11" s="15"/>
      <c r="E11" s="65"/>
      <c r="F11" s="65"/>
      <c r="G11" s="65"/>
      <c r="H11" s="65"/>
      <c r="K11" s="534"/>
      <c r="L11" s="534"/>
      <c r="M11" s="534"/>
      <c r="N11" s="534"/>
      <c r="O11" s="534"/>
      <c r="P11" s="534"/>
      <c r="Q11" s="534"/>
      <c r="R11" s="534"/>
      <c r="S11" s="534"/>
      <c r="T11" s="534"/>
      <c r="U11" s="534"/>
      <c r="V11" s="534"/>
    </row>
    <row r="12" spans="1:22" ht="15" x14ac:dyDescent="0.25">
      <c r="F12" s="66"/>
      <c r="G12" s="66"/>
      <c r="K12" s="534"/>
      <c r="L12" s="534"/>
      <c r="M12" s="534"/>
      <c r="N12" s="534"/>
      <c r="O12" s="534"/>
      <c r="P12" s="534"/>
      <c r="Q12" s="534"/>
      <c r="R12" s="534"/>
      <c r="S12" s="534"/>
      <c r="T12" s="534"/>
      <c r="U12" s="534"/>
      <c r="V12" s="534"/>
    </row>
    <row r="13" spans="1:22" s="16" customFormat="1" ht="15" x14ac:dyDescent="0.25">
      <c r="C13" s="30"/>
      <c r="F13" s="27"/>
      <c r="G13" s="27"/>
      <c r="H13" s="27"/>
      <c r="I13" s="29"/>
      <c r="J13" s="27"/>
      <c r="K13" s="545"/>
      <c r="L13" s="28"/>
      <c r="M13" s="29"/>
      <c r="N13" s="534"/>
      <c r="O13" s="534"/>
      <c r="P13" s="534"/>
      <c r="Q13" s="534"/>
      <c r="R13" s="534"/>
      <c r="S13" s="534"/>
      <c r="T13" s="534"/>
      <c r="U13" s="534"/>
      <c r="V13" s="534"/>
    </row>
    <row r="14" spans="1:22" s="16" customFormat="1" ht="15" x14ac:dyDescent="0.25">
      <c r="A14" s="32" t="s">
        <v>30</v>
      </c>
      <c r="B14" s="32" t="s">
        <v>322</v>
      </c>
      <c r="K14" s="534"/>
      <c r="L14" s="534"/>
      <c r="M14" s="534"/>
      <c r="N14" s="534"/>
      <c r="O14" s="534"/>
      <c r="P14" s="534"/>
      <c r="Q14" s="534"/>
      <c r="R14" s="534"/>
      <c r="S14" s="534"/>
      <c r="T14" s="534"/>
      <c r="U14" s="534"/>
      <c r="V14" s="534"/>
    </row>
    <row r="15" spans="1:22" ht="15" x14ac:dyDescent="0.25">
      <c r="F15" s="660" t="s">
        <v>91</v>
      </c>
      <c r="G15" s="660" t="s">
        <v>114</v>
      </c>
      <c r="H15" s="660" t="s">
        <v>116</v>
      </c>
      <c r="I15" s="660" t="s">
        <v>115</v>
      </c>
      <c r="K15" s="534"/>
      <c r="L15" s="534"/>
      <c r="M15" s="534"/>
      <c r="N15" s="534"/>
      <c r="O15" s="534"/>
      <c r="P15" s="534"/>
      <c r="Q15" s="534"/>
      <c r="R15" s="534"/>
      <c r="S15" s="534"/>
      <c r="T15" s="534"/>
      <c r="U15" s="534"/>
      <c r="V15" s="534"/>
    </row>
    <row r="16" spans="1:22" ht="15" x14ac:dyDescent="0.25">
      <c r="C16" s="12" t="s">
        <v>139</v>
      </c>
      <c r="F16" s="233">
        <v>64454.495497722797</v>
      </c>
      <c r="G16" s="239">
        <v>54356.643573375273</v>
      </c>
      <c r="H16" s="239">
        <v>51563.596398178241</v>
      </c>
      <c r="I16" s="239">
        <v>51563.596398178241</v>
      </c>
      <c r="J16" s="18"/>
      <c r="K16" s="530"/>
      <c r="L16" s="497"/>
      <c r="M16" s="510"/>
      <c r="N16" s="510"/>
      <c r="O16" s="510"/>
      <c r="P16" s="510"/>
      <c r="Q16" s="534"/>
      <c r="R16" s="534"/>
      <c r="S16" s="534"/>
      <c r="T16" s="534"/>
      <c r="U16" s="534"/>
      <c r="V16" s="534"/>
    </row>
    <row r="17" spans="1:22" ht="15" x14ac:dyDescent="0.25">
      <c r="C17" s="12" t="s">
        <v>140</v>
      </c>
      <c r="F17" s="233">
        <v>28757.902536613085</v>
      </c>
      <c r="G17" s="239">
        <v>20265.350246592021</v>
      </c>
      <c r="H17" s="239">
        <v>15867.500153283858</v>
      </c>
      <c r="I17" s="239">
        <v>14280.750137955469</v>
      </c>
      <c r="J17" s="18"/>
      <c r="K17" s="530"/>
      <c r="L17" s="497"/>
      <c r="M17" s="510"/>
      <c r="N17" s="510"/>
      <c r="O17" s="510"/>
      <c r="P17" s="510"/>
      <c r="Q17" s="534"/>
      <c r="R17" s="534"/>
      <c r="S17" s="534"/>
      <c r="T17" s="534"/>
      <c r="U17" s="534"/>
      <c r="V17" s="534"/>
    </row>
    <row r="18" spans="1:22" s="72" customFormat="1" ht="15" x14ac:dyDescent="0.25">
      <c r="C18" s="72" t="s">
        <v>175</v>
      </c>
      <c r="F18" s="233">
        <v>13033.49060550327</v>
      </c>
      <c r="G18" s="233">
        <v>1303.3490605503271</v>
      </c>
      <c r="H18" s="233">
        <v>260.66981211006544</v>
      </c>
      <c r="I18" s="233">
        <v>130.33490605503272</v>
      </c>
      <c r="J18" s="42"/>
      <c r="K18" s="530"/>
      <c r="L18" s="497"/>
      <c r="M18" s="510"/>
      <c r="N18" s="510"/>
      <c r="O18" s="510"/>
      <c r="P18" s="510"/>
      <c r="Q18" s="529"/>
      <c r="R18" s="529"/>
      <c r="S18" s="529"/>
      <c r="T18" s="529"/>
      <c r="U18" s="534"/>
      <c r="V18" s="534"/>
    </row>
    <row r="19" spans="1:22" ht="15" x14ac:dyDescent="0.25">
      <c r="C19" s="17" t="s">
        <v>119</v>
      </c>
      <c r="D19" s="16"/>
      <c r="E19" s="16"/>
      <c r="F19" s="233">
        <v>10624.588863983918</v>
      </c>
      <c r="G19" s="233">
        <v>7592.5342880517628</v>
      </c>
      <c r="H19" s="233">
        <v>6769.1766363572169</v>
      </c>
      <c r="I19" s="233">
        <v>6597.4681442188739</v>
      </c>
      <c r="J19" s="18"/>
      <c r="K19" s="530"/>
      <c r="L19" s="497"/>
      <c r="M19" s="510"/>
      <c r="N19" s="510"/>
      <c r="O19" s="510"/>
      <c r="P19" s="510"/>
      <c r="Q19" s="534"/>
      <c r="R19" s="534"/>
      <c r="S19" s="534"/>
      <c r="T19" s="534"/>
      <c r="U19" s="534"/>
      <c r="V19" s="534"/>
    </row>
    <row r="20" spans="1:22" s="72" customFormat="1" ht="15" x14ac:dyDescent="0.25">
      <c r="C20" s="63"/>
      <c r="D20" s="68"/>
      <c r="E20" s="68"/>
      <c r="F20" s="358"/>
      <c r="G20" s="358"/>
      <c r="H20" s="358"/>
      <c r="I20" s="358"/>
      <c r="J20" s="42"/>
      <c r="K20" s="534"/>
      <c r="L20" s="497"/>
      <c r="M20" s="510"/>
      <c r="N20" s="510"/>
      <c r="O20" s="510"/>
      <c r="P20" s="510"/>
      <c r="Q20" s="534"/>
      <c r="R20" s="534"/>
      <c r="S20" s="534"/>
      <c r="T20" s="534"/>
      <c r="U20" s="534"/>
      <c r="V20" s="534"/>
    </row>
    <row r="21" spans="1:22" s="61" customFormat="1" ht="15" x14ac:dyDescent="0.25">
      <c r="C21" s="116" t="s">
        <v>86</v>
      </c>
      <c r="D21" s="25"/>
      <c r="E21" s="25"/>
      <c r="F21" s="346">
        <f>SUM(F16:F19)</f>
        <v>116870.47750382309</v>
      </c>
      <c r="G21" s="346">
        <f>SUM(G16:G19)</f>
        <v>83517.877168569379</v>
      </c>
      <c r="H21" s="346">
        <f>SUM(H16:H19)</f>
        <v>74460.942999929393</v>
      </c>
      <c r="I21" s="346">
        <f>SUM(I16:I19)</f>
        <v>72572.149586407628</v>
      </c>
      <c r="J21" s="115"/>
      <c r="K21" s="496"/>
      <c r="L21" s="496"/>
      <c r="M21" s="496"/>
      <c r="N21" s="496"/>
      <c r="O21" s="496"/>
      <c r="P21" s="496"/>
      <c r="Q21" s="496"/>
      <c r="R21" s="496"/>
      <c r="S21" s="496"/>
      <c r="T21" s="496"/>
      <c r="U21" s="496"/>
      <c r="V21" s="496"/>
    </row>
    <row r="22" spans="1:22" ht="15" x14ac:dyDescent="0.25">
      <c r="C22" s="490" t="s">
        <v>257</v>
      </c>
      <c r="D22" s="16"/>
      <c r="E22" s="16"/>
      <c r="F22" s="260">
        <f>F21/$E$23</f>
        <v>4623.0410404993308</v>
      </c>
      <c r="G22" s="260">
        <f t="shared" ref="G22:I22" si="1">G21/$E$23</f>
        <v>3303.7134955921429</v>
      </c>
      <c r="H22" s="260">
        <f t="shared" si="1"/>
        <v>2945.4486946174602</v>
      </c>
      <c r="I22" s="260">
        <f t="shared" si="1"/>
        <v>2870.7337652851115</v>
      </c>
      <c r="J22" s="18"/>
      <c r="K22" s="534"/>
      <c r="L22" s="534"/>
      <c r="M22" s="534"/>
      <c r="N22" s="534"/>
      <c r="O22" s="534"/>
      <c r="P22" s="534"/>
      <c r="Q22" s="534"/>
      <c r="R22" s="534"/>
      <c r="S22" s="534"/>
      <c r="T22" s="534"/>
      <c r="U22" s="534"/>
      <c r="V22" s="534"/>
    </row>
    <row r="23" spans="1:22" ht="15" x14ac:dyDescent="0.25">
      <c r="C23" s="17" t="s">
        <v>120</v>
      </c>
      <c r="D23" s="16"/>
      <c r="E23" s="26">
        <v>25.28</v>
      </c>
      <c r="F23" s="33" t="s">
        <v>174</v>
      </c>
      <c r="G23" s="28"/>
      <c r="H23" s="28"/>
      <c r="I23" s="28"/>
      <c r="J23" s="18"/>
      <c r="K23" s="534"/>
      <c r="L23" s="534"/>
      <c r="M23" s="534"/>
      <c r="N23" s="534"/>
      <c r="O23" s="534"/>
      <c r="P23" s="534"/>
      <c r="Q23" s="534"/>
      <c r="R23" s="534"/>
      <c r="S23" s="534"/>
      <c r="T23" s="534"/>
      <c r="U23" s="534"/>
      <c r="V23" s="534"/>
    </row>
    <row r="24" spans="1:22" ht="15" x14ac:dyDescent="0.25">
      <c r="C24" s="17"/>
      <c r="F24" s="35"/>
      <c r="K24" s="534"/>
      <c r="L24" s="534"/>
      <c r="M24" s="534"/>
      <c r="N24" s="534"/>
      <c r="O24" s="534"/>
      <c r="P24" s="534"/>
      <c r="Q24" s="534"/>
      <c r="R24" s="534"/>
      <c r="S24" s="534"/>
      <c r="T24" s="534"/>
      <c r="U24" s="534"/>
      <c r="V24" s="534"/>
    </row>
    <row r="25" spans="1:22" ht="15" x14ac:dyDescent="0.25">
      <c r="C25" s="17"/>
      <c r="K25" s="534"/>
      <c r="L25" s="534"/>
      <c r="M25" s="534"/>
      <c r="N25" s="534"/>
      <c r="O25" s="534"/>
      <c r="P25" s="534"/>
      <c r="Q25" s="534"/>
      <c r="R25" s="534"/>
      <c r="S25" s="534"/>
      <c r="T25" s="534"/>
      <c r="U25" s="534"/>
      <c r="V25" s="534"/>
    </row>
    <row r="26" spans="1:22" ht="15" x14ac:dyDescent="0.25">
      <c r="K26" s="534"/>
      <c r="L26" s="534"/>
      <c r="M26" s="534"/>
      <c r="N26" s="534"/>
      <c r="O26" s="534"/>
      <c r="P26" s="534"/>
      <c r="Q26" s="534"/>
      <c r="R26" s="534"/>
      <c r="S26" s="534"/>
      <c r="T26" s="534"/>
      <c r="U26" s="534"/>
      <c r="V26" s="534"/>
    </row>
    <row r="27" spans="1:22" ht="15" x14ac:dyDescent="0.25">
      <c r="A27" s="13" t="s">
        <v>31</v>
      </c>
      <c r="B27" s="32" t="s">
        <v>323</v>
      </c>
      <c r="K27" s="534"/>
      <c r="L27" s="534"/>
      <c r="M27" s="534"/>
      <c r="N27" s="534"/>
      <c r="O27" s="534"/>
      <c r="P27" s="534"/>
      <c r="Q27" s="534"/>
      <c r="R27" s="534"/>
      <c r="S27" s="534"/>
      <c r="T27" s="534"/>
      <c r="U27" s="534"/>
      <c r="V27" s="534"/>
    </row>
    <row r="28" spans="1:22" ht="15" x14ac:dyDescent="0.25">
      <c r="F28" s="660" t="s">
        <v>91</v>
      </c>
      <c r="G28" s="660" t="s">
        <v>114</v>
      </c>
      <c r="H28" s="660" t="s">
        <v>116</v>
      </c>
      <c r="I28" s="660" t="s">
        <v>115</v>
      </c>
      <c r="K28" s="534"/>
      <c r="L28" s="497"/>
      <c r="M28" s="510"/>
      <c r="N28" s="510"/>
      <c r="O28" s="510"/>
      <c r="P28" s="510"/>
      <c r="Q28" s="534"/>
      <c r="R28" s="534"/>
      <c r="S28" s="534"/>
      <c r="T28" s="534"/>
      <c r="U28" s="534"/>
      <c r="V28" s="534"/>
    </row>
    <row r="29" spans="1:22" ht="15" x14ac:dyDescent="0.25">
      <c r="C29" s="12" t="s">
        <v>141</v>
      </c>
      <c r="F29" s="233">
        <v>42376.306577426672</v>
      </c>
      <c r="G29" s="239">
        <v>35737.364396353718</v>
      </c>
      <c r="H29" s="239">
        <v>33901.045261941341</v>
      </c>
      <c r="I29" s="239">
        <v>33901.045261941341</v>
      </c>
      <c r="J29" s="18"/>
      <c r="K29" s="530"/>
      <c r="L29" s="497"/>
      <c r="M29" s="510"/>
      <c r="N29" s="510"/>
      <c r="O29" s="510"/>
      <c r="P29" s="510"/>
      <c r="Q29" s="534"/>
      <c r="R29" s="534"/>
      <c r="S29" s="534"/>
      <c r="T29" s="534"/>
      <c r="U29" s="534"/>
      <c r="V29" s="534"/>
    </row>
    <row r="30" spans="1:22" ht="15.75" customHeight="1" x14ac:dyDescent="0.25">
      <c r="C30" s="12" t="s">
        <v>140</v>
      </c>
      <c r="F30" s="233">
        <v>40922.44870473499</v>
      </c>
      <c r="G30" s="239">
        <v>28837.560559008729</v>
      </c>
      <c r="H30" s="239">
        <v>22579.4270033578</v>
      </c>
      <c r="I30" s="239">
        <v>20321.484303022015</v>
      </c>
      <c r="J30" s="18"/>
      <c r="K30" s="530"/>
      <c r="L30" s="497"/>
      <c r="M30" s="510"/>
      <c r="N30" s="510"/>
      <c r="O30" s="510"/>
      <c r="P30" s="510"/>
      <c r="Q30" s="529"/>
      <c r="R30" s="529"/>
      <c r="S30" s="529"/>
      <c r="T30" s="529"/>
      <c r="U30" s="534"/>
      <c r="V30" s="534"/>
    </row>
    <row r="31" spans="1:22" s="72" customFormat="1" ht="15.75" customHeight="1" x14ac:dyDescent="0.25">
      <c r="C31" s="72" t="s">
        <v>176</v>
      </c>
      <c r="F31" s="233">
        <v>12805.259694889099</v>
      </c>
      <c r="G31" s="233">
        <v>1280.5259694889098</v>
      </c>
      <c r="H31" s="233">
        <v>256.10519389778199</v>
      </c>
      <c r="I31" s="233">
        <v>128.05259694889099</v>
      </c>
      <c r="J31" s="42"/>
      <c r="K31" s="530"/>
      <c r="L31" s="497"/>
      <c r="M31" s="510"/>
      <c r="N31" s="510"/>
      <c r="O31" s="510"/>
      <c r="P31" s="510"/>
      <c r="Q31" s="534"/>
      <c r="R31" s="534"/>
      <c r="S31" s="534"/>
      <c r="T31" s="534"/>
      <c r="U31" s="534"/>
      <c r="V31" s="534"/>
    </row>
    <row r="32" spans="1:22" ht="15" x14ac:dyDescent="0.25">
      <c r="C32" s="12" t="s">
        <v>119</v>
      </c>
      <c r="F32" s="233">
        <v>9610.4014977050756</v>
      </c>
      <c r="G32" s="233">
        <v>6585.5450924851357</v>
      </c>
      <c r="H32" s="233">
        <v>5673.6577459196924</v>
      </c>
      <c r="I32" s="233">
        <v>5435.0582161912253</v>
      </c>
      <c r="J32" s="18"/>
      <c r="K32" s="530"/>
      <c r="L32" s="497"/>
      <c r="M32" s="510"/>
      <c r="N32" s="510"/>
      <c r="O32" s="510"/>
      <c r="P32" s="510"/>
      <c r="Q32" s="534"/>
      <c r="R32" s="534"/>
      <c r="S32" s="534"/>
      <c r="T32" s="534"/>
      <c r="U32" s="534"/>
      <c r="V32" s="534"/>
    </row>
    <row r="33" spans="1:22" s="72" customFormat="1" ht="15" x14ac:dyDescent="0.25">
      <c r="F33" s="239"/>
      <c r="G33" s="239"/>
      <c r="H33" s="239"/>
      <c r="I33" s="239"/>
      <c r="J33" s="42"/>
      <c r="K33" s="534"/>
      <c r="L33" s="534"/>
      <c r="M33" s="534"/>
      <c r="N33" s="534"/>
      <c r="O33" s="534"/>
      <c r="P33" s="534"/>
      <c r="Q33" s="534"/>
      <c r="R33" s="534"/>
      <c r="S33" s="534"/>
      <c r="T33" s="534"/>
      <c r="U33" s="534"/>
      <c r="V33" s="534"/>
    </row>
    <row r="34" spans="1:22" s="61" customFormat="1" ht="15" x14ac:dyDescent="0.25">
      <c r="C34" s="25" t="s">
        <v>86</v>
      </c>
      <c r="D34" s="25"/>
      <c r="E34" s="25"/>
      <c r="F34" s="108">
        <f>SUM(F29:F32)</f>
        <v>105714.41647475585</v>
      </c>
      <c r="G34" s="108">
        <f t="shared" ref="G34:I34" si="2">SUM(G29:G32)</f>
        <v>72440.996017336482</v>
      </c>
      <c r="H34" s="108">
        <f t="shared" si="2"/>
        <v>62410.235205116616</v>
      </c>
      <c r="I34" s="108">
        <f t="shared" si="2"/>
        <v>59785.640378103468</v>
      </c>
      <c r="J34" s="115"/>
      <c r="K34" s="496"/>
      <c r="L34" s="496"/>
      <c r="M34" s="496"/>
      <c r="N34" s="496"/>
      <c r="O34" s="496"/>
      <c r="P34" s="496"/>
      <c r="Q34" s="496"/>
      <c r="R34" s="496"/>
      <c r="S34" s="496"/>
      <c r="T34" s="496"/>
      <c r="U34" s="496"/>
      <c r="V34" s="496"/>
    </row>
    <row r="35" spans="1:22" s="72" customFormat="1" ht="15" x14ac:dyDescent="0.25">
      <c r="C35" s="30" t="s">
        <v>257</v>
      </c>
      <c r="F35" s="471">
        <f>F34/$E$36</f>
        <v>9489.6244591342765</v>
      </c>
      <c r="G35" s="471">
        <f t="shared" ref="G35:I35" si="3">G34/$E$36</f>
        <v>6502.7824073012998</v>
      </c>
      <c r="H35" s="471">
        <f t="shared" si="3"/>
        <v>5602.3550453426042</v>
      </c>
      <c r="I35" s="471">
        <f t="shared" si="3"/>
        <v>5366.754073438372</v>
      </c>
      <c r="J35" s="42"/>
      <c r="K35" s="534"/>
      <c r="L35" s="534"/>
      <c r="M35" s="534"/>
      <c r="N35" s="534"/>
      <c r="O35" s="534"/>
      <c r="P35" s="534"/>
      <c r="Q35" s="534"/>
      <c r="R35" s="534"/>
      <c r="S35" s="534"/>
      <c r="T35" s="534"/>
      <c r="U35" s="534"/>
      <c r="V35" s="534"/>
    </row>
    <row r="36" spans="1:22" ht="15" x14ac:dyDescent="0.25">
      <c r="C36" s="17" t="s">
        <v>120</v>
      </c>
      <c r="D36" s="16"/>
      <c r="E36" s="74">
        <v>11.14</v>
      </c>
      <c r="F36" s="27" t="s">
        <v>174</v>
      </c>
      <c r="G36" s="27"/>
      <c r="H36" s="27"/>
      <c r="I36" s="29"/>
      <c r="J36" s="18"/>
      <c r="K36" s="534"/>
      <c r="L36" s="534"/>
      <c r="M36" s="534"/>
      <c r="N36" s="534"/>
      <c r="O36" s="534"/>
      <c r="P36" s="534"/>
      <c r="Q36" s="534"/>
      <c r="R36" s="534"/>
      <c r="S36" s="534"/>
      <c r="T36" s="534"/>
      <c r="U36" s="534"/>
      <c r="V36" s="534"/>
    </row>
    <row r="37" spans="1:22" ht="15" x14ac:dyDescent="0.25">
      <c r="C37" s="17"/>
      <c r="D37" s="16"/>
      <c r="E37" s="16"/>
      <c r="F37" s="34"/>
      <c r="G37" s="27"/>
      <c r="H37" s="27"/>
      <c r="I37" s="27"/>
      <c r="J37" s="18"/>
      <c r="K37" s="534"/>
      <c r="L37" s="534"/>
      <c r="M37" s="534"/>
      <c r="N37" s="534"/>
      <c r="O37" s="534"/>
      <c r="P37" s="534"/>
      <c r="Q37" s="534"/>
      <c r="R37" s="534"/>
      <c r="S37" s="534"/>
      <c r="T37" s="534"/>
      <c r="U37" s="534"/>
      <c r="V37" s="534"/>
    </row>
    <row r="38" spans="1:22" ht="15" x14ac:dyDescent="0.25">
      <c r="K38" s="534"/>
      <c r="L38" s="534"/>
      <c r="M38" s="534"/>
      <c r="N38" s="534"/>
      <c r="O38" s="534"/>
      <c r="P38" s="534"/>
      <c r="Q38" s="534"/>
      <c r="R38" s="534"/>
      <c r="S38" s="534"/>
      <c r="T38" s="534"/>
      <c r="U38" s="534"/>
      <c r="V38" s="534"/>
    </row>
    <row r="39" spans="1:22" ht="15" x14ac:dyDescent="0.25">
      <c r="A39" s="13" t="s">
        <v>32</v>
      </c>
      <c r="B39" s="32" t="s">
        <v>324</v>
      </c>
      <c r="K39" s="534"/>
      <c r="L39" s="534"/>
      <c r="M39" s="534"/>
      <c r="N39" s="534"/>
      <c r="O39" s="534"/>
      <c r="P39" s="534"/>
      <c r="Q39" s="534"/>
      <c r="R39" s="534"/>
      <c r="S39" s="534"/>
      <c r="T39" s="534"/>
      <c r="U39" s="534"/>
      <c r="V39" s="534"/>
    </row>
    <row r="40" spans="1:22" ht="15" x14ac:dyDescent="0.25">
      <c r="F40" s="660" t="s">
        <v>91</v>
      </c>
      <c r="G40" s="660" t="s">
        <v>114</v>
      </c>
      <c r="H40" s="660" t="s">
        <v>116</v>
      </c>
      <c r="I40" s="660" t="s">
        <v>115</v>
      </c>
      <c r="K40" s="534"/>
      <c r="L40" s="497"/>
      <c r="M40" s="510"/>
      <c r="N40" s="510"/>
      <c r="O40" s="510"/>
      <c r="P40" s="510"/>
      <c r="Q40" s="534"/>
      <c r="R40" s="534"/>
      <c r="S40" s="534"/>
      <c r="T40" s="534"/>
      <c r="U40" s="534"/>
      <c r="V40" s="534"/>
    </row>
    <row r="41" spans="1:22" ht="15" x14ac:dyDescent="0.25">
      <c r="C41" s="12" t="s">
        <v>139</v>
      </c>
      <c r="F41" s="233">
        <v>22366.372968030002</v>
      </c>
      <c r="G41" s="239">
        <v>18862.314475727078</v>
      </c>
      <c r="H41" s="239">
        <v>17893.098374424004</v>
      </c>
      <c r="I41" s="239">
        <v>17893.098374424004</v>
      </c>
      <c r="K41" s="530"/>
      <c r="L41" s="497"/>
      <c r="M41" s="510"/>
      <c r="N41" s="510"/>
      <c r="O41" s="510"/>
      <c r="P41" s="510"/>
      <c r="Q41" s="534"/>
      <c r="R41" s="534"/>
      <c r="S41" s="534"/>
      <c r="T41" s="534"/>
      <c r="U41" s="534"/>
      <c r="V41" s="534"/>
    </row>
    <row r="42" spans="1:22" ht="15" x14ac:dyDescent="0.25">
      <c r="C42" s="12" t="s">
        <v>140</v>
      </c>
      <c r="F42" s="233">
        <v>14504.347330073768</v>
      </c>
      <c r="G42" s="239">
        <v>10221.040229479286</v>
      </c>
      <c r="H42" s="239">
        <v>8002.9387814433103</v>
      </c>
      <c r="I42" s="239">
        <v>7202.6449032989785</v>
      </c>
      <c r="K42" s="530"/>
      <c r="L42" s="497"/>
      <c r="M42" s="510"/>
      <c r="N42" s="510"/>
      <c r="O42" s="510"/>
      <c r="P42" s="510"/>
      <c r="Q42" s="529"/>
      <c r="R42" s="529"/>
      <c r="S42" s="529"/>
      <c r="T42" s="529"/>
      <c r="U42" s="534"/>
      <c r="V42" s="534"/>
    </row>
    <row r="43" spans="1:22" s="72" customFormat="1" ht="15" x14ac:dyDescent="0.25">
      <c r="C43" s="72" t="s">
        <v>177</v>
      </c>
      <c r="F43" s="233">
        <v>5131.4003545184432</v>
      </c>
      <c r="G43" s="233">
        <v>513.14003545184437</v>
      </c>
      <c r="H43" s="233">
        <v>102.62800709036885</v>
      </c>
      <c r="I43" s="233">
        <v>51.314003545184427</v>
      </c>
      <c r="K43" s="530"/>
      <c r="L43" s="497"/>
      <c r="M43" s="510"/>
      <c r="N43" s="510"/>
      <c r="O43" s="510"/>
      <c r="P43" s="510"/>
      <c r="Q43" s="534"/>
      <c r="R43" s="534"/>
      <c r="S43" s="534"/>
      <c r="T43" s="534"/>
      <c r="U43" s="534"/>
      <c r="V43" s="534"/>
    </row>
    <row r="44" spans="1:22" ht="15" x14ac:dyDescent="0.25">
      <c r="C44" s="16" t="s">
        <v>119</v>
      </c>
      <c r="D44" s="16"/>
      <c r="E44" s="16"/>
      <c r="F44" s="233">
        <v>4200.2120652622207</v>
      </c>
      <c r="G44" s="233">
        <v>2959.6494740658213</v>
      </c>
      <c r="H44" s="233">
        <v>2599.8665162957682</v>
      </c>
      <c r="I44" s="233">
        <v>2514.7057281268171</v>
      </c>
      <c r="K44" s="530"/>
      <c r="L44" s="497"/>
      <c r="M44" s="510"/>
      <c r="N44" s="510"/>
      <c r="O44" s="510"/>
      <c r="P44" s="510"/>
      <c r="Q44" s="534"/>
      <c r="R44" s="534"/>
      <c r="S44" s="534"/>
      <c r="T44" s="534"/>
      <c r="U44" s="534"/>
      <c r="V44" s="534"/>
    </row>
    <row r="45" spans="1:22" s="72" customFormat="1" ht="15" x14ac:dyDescent="0.25">
      <c r="C45" s="68"/>
      <c r="D45" s="68"/>
      <c r="E45" s="68"/>
      <c r="F45" s="234"/>
      <c r="G45" s="234"/>
      <c r="H45" s="234"/>
      <c r="I45" s="234"/>
      <c r="K45" s="534"/>
      <c r="L45" s="534"/>
      <c r="M45" s="534"/>
      <c r="N45" s="534"/>
      <c r="O45" s="534"/>
      <c r="P45" s="534"/>
      <c r="Q45" s="534"/>
      <c r="R45" s="534"/>
      <c r="S45" s="534"/>
      <c r="T45" s="534"/>
      <c r="U45" s="534"/>
      <c r="V45" s="534"/>
    </row>
    <row r="46" spans="1:22" s="61" customFormat="1" ht="15" x14ac:dyDescent="0.25">
      <c r="C46" s="116" t="s">
        <v>86</v>
      </c>
      <c r="D46" s="25"/>
      <c r="E46" s="25"/>
      <c r="F46" s="118">
        <f>SUM(F41:F44)</f>
        <v>46202.332717884434</v>
      </c>
      <c r="G46" s="118">
        <f t="shared" ref="G46:I46" si="4">SUM(G41:G44)</f>
        <v>32556.14421472403</v>
      </c>
      <c r="H46" s="118">
        <f t="shared" si="4"/>
        <v>28598.531679253454</v>
      </c>
      <c r="I46" s="118">
        <f t="shared" si="4"/>
        <v>27661.763009394985</v>
      </c>
      <c r="K46" s="496"/>
      <c r="L46" s="496"/>
      <c r="M46" s="496"/>
      <c r="N46" s="496"/>
      <c r="O46" s="496"/>
      <c r="P46" s="496"/>
      <c r="Q46" s="496"/>
      <c r="R46" s="496"/>
      <c r="S46" s="496"/>
      <c r="T46" s="496"/>
      <c r="U46" s="496"/>
      <c r="V46" s="496"/>
    </row>
    <row r="47" spans="1:22" ht="15" x14ac:dyDescent="0.25">
      <c r="C47" s="30" t="s">
        <v>257</v>
      </c>
      <c r="D47" s="16"/>
      <c r="E47" s="16"/>
      <c r="F47" s="27">
        <f>F46/$E$48</f>
        <v>7097.1325219484543</v>
      </c>
      <c r="G47" s="546">
        <f t="shared" ref="G47:I47" si="5">G46/$E$48</f>
        <v>5000.9438117855652</v>
      </c>
      <c r="H47" s="546">
        <f t="shared" si="5"/>
        <v>4393.0156189329427</v>
      </c>
      <c r="I47" s="546">
        <f t="shared" si="5"/>
        <v>4249.1187418425479</v>
      </c>
      <c r="K47" s="534"/>
      <c r="L47" s="534"/>
      <c r="M47" s="534"/>
      <c r="N47" s="534"/>
      <c r="O47" s="534"/>
      <c r="P47" s="534"/>
      <c r="Q47" s="534"/>
      <c r="R47" s="534"/>
      <c r="S47" s="534"/>
      <c r="T47" s="534"/>
      <c r="U47" s="534"/>
      <c r="V47" s="534"/>
    </row>
    <row r="48" spans="1:22" ht="15" x14ac:dyDescent="0.25">
      <c r="C48" s="17" t="s">
        <v>120</v>
      </c>
      <c r="D48" s="16"/>
      <c r="E48" s="74">
        <v>6.51</v>
      </c>
      <c r="F48" s="26" t="s">
        <v>174</v>
      </c>
      <c r="G48" s="27"/>
      <c r="H48" s="27"/>
      <c r="I48" s="27"/>
      <c r="K48" s="534"/>
      <c r="L48" s="534"/>
      <c r="M48" s="534"/>
      <c r="N48" s="534"/>
      <c r="O48" s="534"/>
      <c r="P48" s="534"/>
      <c r="Q48" s="534"/>
      <c r="R48" s="534"/>
      <c r="S48" s="534"/>
      <c r="T48" s="534"/>
      <c r="U48" s="534"/>
      <c r="V48" s="534"/>
    </row>
    <row r="49" spans="1:22" ht="15" x14ac:dyDescent="0.25">
      <c r="K49" s="534"/>
      <c r="L49" s="534"/>
      <c r="M49" s="534"/>
      <c r="N49" s="534"/>
      <c r="O49" s="534"/>
      <c r="P49" s="534"/>
      <c r="Q49" s="534"/>
      <c r="R49" s="534"/>
      <c r="S49" s="534"/>
      <c r="T49" s="534"/>
      <c r="U49" s="534"/>
      <c r="V49" s="534"/>
    </row>
    <row r="50" spans="1:22" ht="15" x14ac:dyDescent="0.25">
      <c r="F50" s="14"/>
      <c r="G50" s="14"/>
      <c r="H50" s="14"/>
      <c r="I50" s="14"/>
      <c r="J50" s="14"/>
      <c r="K50" s="534"/>
      <c r="L50" s="534"/>
      <c r="M50" s="534"/>
      <c r="N50" s="534"/>
      <c r="O50" s="534"/>
      <c r="P50" s="534"/>
      <c r="Q50" s="534"/>
      <c r="R50" s="534"/>
      <c r="S50" s="534"/>
      <c r="T50" s="534"/>
      <c r="U50" s="534"/>
      <c r="V50" s="534"/>
    </row>
    <row r="51" spans="1:22" ht="15" x14ac:dyDescent="0.25">
      <c r="A51" s="60" t="s">
        <v>33</v>
      </c>
      <c r="B51" s="60" t="s">
        <v>65</v>
      </c>
      <c r="C51" s="67"/>
      <c r="D51" s="67"/>
      <c r="E51" s="67"/>
      <c r="F51" s="67"/>
      <c r="G51" s="67"/>
      <c r="H51" s="67"/>
      <c r="I51" s="67"/>
      <c r="J51" s="18"/>
      <c r="K51" s="534"/>
      <c r="L51" s="534"/>
      <c r="M51" s="534"/>
      <c r="N51" s="534"/>
      <c r="O51" s="534"/>
      <c r="P51" s="534"/>
      <c r="Q51" s="534"/>
      <c r="R51" s="534"/>
      <c r="S51" s="534"/>
      <c r="T51" s="534"/>
      <c r="U51" s="534"/>
      <c r="V51" s="534"/>
    </row>
    <row r="52" spans="1:22" ht="15" x14ac:dyDescent="0.25">
      <c r="A52" s="67"/>
      <c r="B52" s="67"/>
      <c r="C52" s="67"/>
      <c r="D52" s="67"/>
      <c r="E52" s="67"/>
      <c r="F52" s="64" t="s">
        <v>91</v>
      </c>
      <c r="G52" s="64" t="s">
        <v>114</v>
      </c>
      <c r="H52" s="64" t="s">
        <v>116</v>
      </c>
      <c r="I52" s="64" t="s">
        <v>115</v>
      </c>
      <c r="K52" s="534"/>
      <c r="L52" s="534"/>
      <c r="M52" s="534"/>
      <c r="N52" s="534"/>
      <c r="O52" s="534"/>
      <c r="P52" s="534"/>
      <c r="Q52" s="534"/>
      <c r="R52" s="534"/>
      <c r="S52" s="534"/>
      <c r="T52" s="534"/>
      <c r="U52" s="534"/>
      <c r="V52" s="534"/>
    </row>
    <row r="53" spans="1:22" s="72" customFormat="1" ht="15" x14ac:dyDescent="0.25">
      <c r="C53" s="72" t="s">
        <v>173</v>
      </c>
      <c r="F53" s="117">
        <f>F46+F34+F21</f>
        <v>268787.22669646342</v>
      </c>
      <c r="G53" s="489">
        <f t="shared" ref="G53:I53" si="6">G46+G34+G21</f>
        <v>188515.01740062988</v>
      </c>
      <c r="H53" s="489">
        <f t="shared" si="6"/>
        <v>165469.70988429946</v>
      </c>
      <c r="I53" s="489">
        <f t="shared" si="6"/>
        <v>160019.5529739061</v>
      </c>
      <c r="K53" s="530"/>
      <c r="L53" s="530"/>
      <c r="M53" s="530"/>
      <c r="N53" s="534"/>
      <c r="O53" s="534"/>
      <c r="P53" s="534"/>
      <c r="Q53" s="534"/>
      <c r="R53" s="534"/>
      <c r="S53" s="534"/>
      <c r="T53" s="534"/>
      <c r="U53" s="534"/>
      <c r="V53" s="534"/>
    </row>
    <row r="54" spans="1:22" ht="15" x14ac:dyDescent="0.25">
      <c r="A54" s="67"/>
      <c r="B54" s="67"/>
      <c r="C54" s="67" t="s">
        <v>153</v>
      </c>
      <c r="D54" s="67"/>
      <c r="E54" s="67"/>
      <c r="F54" s="235">
        <v>0.1</v>
      </c>
      <c r="G54" s="235">
        <v>0.1</v>
      </c>
      <c r="H54" s="235">
        <v>0.1</v>
      </c>
      <c r="I54" s="235">
        <v>0.1</v>
      </c>
      <c r="K54" s="534"/>
      <c r="L54" s="534"/>
      <c r="M54" s="534"/>
      <c r="N54" s="534"/>
      <c r="O54" s="534"/>
      <c r="P54" s="534"/>
      <c r="Q54" s="534"/>
      <c r="R54" s="534"/>
      <c r="S54" s="534"/>
      <c r="T54" s="534"/>
      <c r="U54" s="534"/>
      <c r="V54" s="534"/>
    </row>
    <row r="55" spans="1:22" s="72" customFormat="1" ht="15" x14ac:dyDescent="0.25">
      <c r="F55" s="113"/>
      <c r="G55" s="113"/>
      <c r="H55" s="113"/>
      <c r="I55" s="113"/>
      <c r="K55" s="534"/>
      <c r="L55" s="534"/>
      <c r="M55" s="534"/>
      <c r="N55" s="534"/>
      <c r="O55" s="534"/>
      <c r="P55" s="534"/>
      <c r="Q55" s="534"/>
      <c r="R55" s="534"/>
      <c r="S55" s="534"/>
      <c r="T55" s="534"/>
      <c r="U55" s="534"/>
      <c r="V55" s="534"/>
    </row>
    <row r="56" spans="1:22" s="61" customFormat="1" ht="15" x14ac:dyDescent="0.25">
      <c r="C56" s="116" t="s">
        <v>86</v>
      </c>
      <c r="D56" s="25"/>
      <c r="E56" s="25"/>
      <c r="F56" s="118">
        <f>F54*F53</f>
        <v>26878.722669646344</v>
      </c>
      <c r="G56" s="118">
        <f t="shared" ref="G56:I56" si="7">G54*G53</f>
        <v>18851.501740062988</v>
      </c>
      <c r="H56" s="118">
        <f t="shared" si="7"/>
        <v>16546.970988429948</v>
      </c>
      <c r="I56" s="118">
        <f t="shared" si="7"/>
        <v>16001.95529739061</v>
      </c>
    </row>
    <row r="57" spans="1:22" ht="15" x14ac:dyDescent="0.25">
      <c r="A57" s="67"/>
      <c r="B57" s="67"/>
      <c r="C57" s="490" t="s">
        <v>257</v>
      </c>
      <c r="D57" s="68"/>
      <c r="E57" s="68"/>
      <c r="F57" s="50">
        <f>F56/$E$58</f>
        <v>6261.0581573832615</v>
      </c>
      <c r="G57" s="546">
        <f t="shared" ref="G57:I57" si="8">G56/$E$58</f>
        <v>4391.2186676130877</v>
      </c>
      <c r="H57" s="546">
        <f t="shared" si="8"/>
        <v>3854.4074047123104</v>
      </c>
      <c r="I57" s="546">
        <f t="shared" si="8"/>
        <v>3727.4528994620568</v>
      </c>
    </row>
    <row r="58" spans="1:22" ht="15" x14ac:dyDescent="0.25">
      <c r="A58" s="67"/>
      <c r="B58" s="67"/>
      <c r="C58" s="63"/>
      <c r="D58" s="68"/>
      <c r="E58" s="74">
        <f>10%*(E48+E36+E23)</f>
        <v>4.2930000000000001</v>
      </c>
      <c r="F58" s="26" t="s">
        <v>174</v>
      </c>
      <c r="G58" s="50"/>
      <c r="H58" s="50"/>
      <c r="I58" s="50"/>
    </row>
    <row r="60" spans="1:22" ht="15" x14ac:dyDescent="0.25">
      <c r="A60" s="67"/>
      <c r="B60" s="67"/>
      <c r="C60" s="63"/>
      <c r="D60" s="68"/>
      <c r="E60" s="74"/>
      <c r="F60" s="26"/>
      <c r="G60" s="50"/>
      <c r="H60" s="50"/>
      <c r="I60" s="50"/>
    </row>
    <row r="62" spans="1:22" s="317" customFormat="1" ht="15" x14ac:dyDescent="0.25">
      <c r="A62" s="241" t="s">
        <v>170</v>
      </c>
    </row>
    <row r="63" spans="1:22" s="317" customFormat="1" ht="15" x14ac:dyDescent="0.25">
      <c r="A63" s="317" t="s">
        <v>539</v>
      </c>
      <c r="B63" s="317" t="s">
        <v>540</v>
      </c>
    </row>
    <row r="64" spans="1:22" s="533" customFormat="1" ht="15" x14ac:dyDescent="0.25">
      <c r="A64" s="533" t="s">
        <v>31</v>
      </c>
      <c r="B64" s="533" t="s">
        <v>540</v>
      </c>
    </row>
    <row r="65" spans="1:2" s="357" customFormat="1" ht="15" x14ac:dyDescent="0.25">
      <c r="A65" s="533" t="s">
        <v>32</v>
      </c>
      <c r="B65" s="533" t="s">
        <v>540</v>
      </c>
    </row>
    <row r="66" spans="1:2" s="317" customFormat="1" ht="15" x14ac:dyDescent="0.25">
      <c r="A66" s="317" t="s">
        <v>33</v>
      </c>
      <c r="B66" s="317" t="s">
        <v>538</v>
      </c>
    </row>
    <row r="67" spans="1:2" s="317" customFormat="1" x14ac:dyDescent="0.3"/>
    <row r="68" spans="1:2" s="317" customFormat="1" x14ac:dyDescent="0.3">
      <c r="A68" s="241" t="s">
        <v>283</v>
      </c>
    </row>
    <row r="69" spans="1:2" s="317" customFormat="1" x14ac:dyDescent="0.3">
      <c r="A69" s="317" t="s">
        <v>30</v>
      </c>
      <c r="B69" s="317" t="s">
        <v>558</v>
      </c>
    </row>
    <row r="70" spans="1:2" s="317" customFormat="1" x14ac:dyDescent="0.3">
      <c r="A70" s="317" t="s">
        <v>31</v>
      </c>
      <c r="B70" s="317" t="s">
        <v>558</v>
      </c>
    </row>
    <row r="71" spans="1:2" s="317" customFormat="1" x14ac:dyDescent="0.3">
      <c r="A71" s="317" t="s">
        <v>32</v>
      </c>
      <c r="B71" s="317" t="s">
        <v>558</v>
      </c>
    </row>
    <row r="72" spans="1:2" s="317" customFormat="1" x14ac:dyDescent="0.3">
      <c r="A72" s="317" t="s">
        <v>33</v>
      </c>
      <c r="B72" s="317" t="s">
        <v>285</v>
      </c>
    </row>
    <row r="73" spans="1:2" s="317" customFormat="1" x14ac:dyDescent="0.3"/>
  </sheetData>
  <pageMargins left="0.7" right="0.7" top="0.75" bottom="0.75" header="0.3" footer="0.3"/>
  <pageSetup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9"/>
  <sheetViews>
    <sheetView zoomScale="70" zoomScaleNormal="70" workbookViewId="0">
      <selection activeCell="E142" sqref="E142"/>
    </sheetView>
  </sheetViews>
  <sheetFormatPr defaultColWidth="9.109375" defaultRowHeight="14.4" x14ac:dyDescent="0.3"/>
  <cols>
    <col min="1" max="1" width="4.109375" style="72" customWidth="1"/>
    <col min="2" max="2" width="4.33203125" style="72" customWidth="1"/>
    <col min="3" max="3" width="6.88671875" style="72" customWidth="1"/>
    <col min="4" max="4" width="4.5546875" style="72" customWidth="1"/>
    <col min="5" max="5" width="67" style="72" customWidth="1"/>
    <col min="6" max="6" width="34.109375" style="72" customWidth="1"/>
    <col min="7" max="7" width="17.88671875" style="72" customWidth="1"/>
    <col min="8" max="8" width="18.6640625" style="72" customWidth="1"/>
    <col min="9" max="9" width="19.6640625" style="72" customWidth="1"/>
    <col min="10" max="10" width="24.88671875" style="72" customWidth="1"/>
    <col min="11" max="11" width="24.109375" style="72" bestFit="1" customWidth="1"/>
    <col min="12" max="12" width="21.44140625" style="72" customWidth="1"/>
    <col min="13" max="13" width="16.6640625" style="72" customWidth="1"/>
    <col min="14" max="17" width="9.109375" style="72"/>
    <col min="18" max="19" width="9" style="72" customWidth="1"/>
    <col min="20" max="20" width="9.109375" style="72"/>
    <col min="21" max="21" width="9.6640625" style="72" customWidth="1"/>
    <col min="22" max="22" width="12.5546875" style="72" customWidth="1"/>
    <col min="23" max="23" width="8.33203125" style="72" customWidth="1"/>
    <col min="24" max="24" width="9.109375" style="72"/>
    <col min="25" max="25" width="17.33203125" style="72" customWidth="1"/>
    <col min="26" max="27" width="9.109375" style="72"/>
    <col min="28" max="28" width="11.6640625" style="72" customWidth="1"/>
    <col min="29" max="16384" width="9.109375" style="72"/>
  </cols>
  <sheetData>
    <row r="1" spans="1:13" ht="15" x14ac:dyDescent="0.25">
      <c r="A1" s="535" t="s">
        <v>367</v>
      </c>
      <c r="F1" s="72" t="s">
        <v>520</v>
      </c>
      <c r="G1" s="72">
        <f>'Performance &amp; Economics'!G12</f>
        <v>89.51</v>
      </c>
      <c r="H1" s="72" t="s">
        <v>156</v>
      </c>
    </row>
    <row r="3" spans="1:13" ht="15" x14ac:dyDescent="0.25">
      <c r="A3" s="60" t="s">
        <v>117</v>
      </c>
      <c r="F3" s="243" t="s">
        <v>299</v>
      </c>
      <c r="G3" s="72">
        <v>1</v>
      </c>
      <c r="H3" s="72">
        <v>10</v>
      </c>
      <c r="I3" s="72">
        <v>50</v>
      </c>
      <c r="J3" s="72">
        <v>100</v>
      </c>
      <c r="K3" s="72" t="s">
        <v>122</v>
      </c>
      <c r="L3" s="72" t="s">
        <v>159</v>
      </c>
    </row>
    <row r="4" spans="1:13" ht="15" x14ac:dyDescent="0.25">
      <c r="A4" s="60"/>
      <c r="B4" s="677" t="s">
        <v>35</v>
      </c>
      <c r="C4" s="677"/>
      <c r="D4" s="258"/>
      <c r="E4" s="259" t="s">
        <v>36</v>
      </c>
      <c r="F4" s="640">
        <f>SUMIF($F$66:$F$78,"="&amp;E4,$I$66:$I$78)</f>
        <v>22377.5</v>
      </c>
      <c r="G4" s="322">
        <f>SUMIF($F$28:$F$58,"="&amp;E4,$I$28:$I$58)</f>
        <v>102400</v>
      </c>
      <c r="H4" s="322">
        <f>$G4*H$3^(LOG10($K4)/LOG10(2))*H$3</f>
        <v>478691.54995782307</v>
      </c>
      <c r="I4" s="322">
        <f t="shared" ref="H4:J17" si="0">$G4*I$3^(LOG10($K4)/LOG10(2))*I$3</f>
        <v>1406678.9184834165</v>
      </c>
      <c r="J4" s="322">
        <f>$G4*J$3^(LOG10($K4)/LOG10(2))*J$3</f>
        <v>2237750.0000099903</v>
      </c>
      <c r="K4" s="323">
        <v>0.79540183996735259</v>
      </c>
      <c r="L4" s="324">
        <f t="shared" ref="L4:L17" si="1">SUMIF($F$28:$F$58,"="&amp;E4,$K$28:$K$58)</f>
        <v>3356.0090702947846</v>
      </c>
      <c r="M4" s="66">
        <f>G4/89</f>
        <v>1150.5617977528091</v>
      </c>
    </row>
    <row r="5" spans="1:13" ht="15" x14ac:dyDescent="0.25">
      <c r="B5" s="677" t="s">
        <v>37</v>
      </c>
      <c r="C5" s="677"/>
      <c r="D5" s="258"/>
      <c r="E5" s="259" t="s">
        <v>74</v>
      </c>
      <c r="F5" s="640">
        <f>SUMIF($F$66:$F$78,"="&amp;E5,$I$66:$I$78)</f>
        <v>37768.707482993195</v>
      </c>
      <c r="G5" s="322">
        <f>SUMIF($F$28:$F$58,"="&amp;E5,$I$28:$I$58)</f>
        <v>149594.70000000001</v>
      </c>
      <c r="H5" s="322">
        <f t="shared" si="0"/>
        <v>751664.74187879334</v>
      </c>
      <c r="I5" s="322">
        <f t="shared" si="0"/>
        <v>2323151.9780465029</v>
      </c>
      <c r="J5" s="322">
        <f>$G5*J$3^(LOG10($K5)/LOG10(2))*J$3</f>
        <v>3776871.0000000871</v>
      </c>
      <c r="K5" s="323">
        <v>0.81287643591358805</v>
      </c>
      <c r="L5" s="324">
        <f t="shared" si="1"/>
        <v>4500.6802721088443</v>
      </c>
      <c r="M5" s="66">
        <f t="shared" ref="M5:M17" si="2">G5/89</f>
        <v>1680.8393258426968</v>
      </c>
    </row>
    <row r="6" spans="1:13" ht="15" x14ac:dyDescent="0.25">
      <c r="B6" s="244" t="s">
        <v>38</v>
      </c>
      <c r="C6" s="244"/>
      <c r="D6" s="244"/>
      <c r="E6" s="244" t="s">
        <v>40</v>
      </c>
      <c r="F6" s="640">
        <f t="shared" ref="F6:F17" si="3">SUMIF($F$66:$F$78,"="&amp;E6,$I$66:$I$78)</f>
        <v>0</v>
      </c>
      <c r="G6" s="322">
        <f>SUMIF($F$28:$F$58,"="&amp;E6,$I$28:$I$58)</f>
        <v>0</v>
      </c>
      <c r="H6" s="322">
        <f t="shared" si="0"/>
        <v>0</v>
      </c>
      <c r="I6" s="322">
        <f t="shared" si="0"/>
        <v>0</v>
      </c>
      <c r="J6" s="322">
        <f t="shared" si="0"/>
        <v>0</v>
      </c>
      <c r="K6" s="323">
        <v>1</v>
      </c>
      <c r="L6" s="324">
        <f t="shared" si="1"/>
        <v>0</v>
      </c>
      <c r="M6" s="66">
        <f t="shared" si="2"/>
        <v>0</v>
      </c>
    </row>
    <row r="7" spans="1:13" ht="15" x14ac:dyDescent="0.25">
      <c r="A7" s="547"/>
      <c r="B7" s="594" t="s">
        <v>39</v>
      </c>
      <c r="C7" s="594"/>
      <c r="D7" s="594"/>
      <c r="E7" s="594" t="s">
        <v>41</v>
      </c>
      <c r="F7" s="640">
        <f>SUMIF($F$66:$F$78,"="&amp;E7,$I$66:$I$78)</f>
        <v>19692.2</v>
      </c>
      <c r="G7" s="322">
        <f>SUMIF($F$28:$F$58,"="&amp;E7,$I$28:$I$58)</f>
        <v>32000</v>
      </c>
      <c r="H7" s="256">
        <f t="shared" si="0"/>
        <v>251027.96656947237</v>
      </c>
      <c r="I7" s="256">
        <f t="shared" si="0"/>
        <v>1059256.6363762105</v>
      </c>
      <c r="J7" s="322">
        <f t="shared" si="0"/>
        <v>1969220.0000001292</v>
      </c>
      <c r="K7" s="323">
        <v>0.92952922472922439</v>
      </c>
      <c r="L7" s="324">
        <f t="shared" si="1"/>
        <v>226.75736961451247</v>
      </c>
      <c r="M7" s="66">
        <f t="shared" si="2"/>
        <v>359.55056179775283</v>
      </c>
    </row>
    <row r="8" spans="1:13" ht="15" x14ac:dyDescent="0.25">
      <c r="A8" s="547"/>
      <c r="B8" s="594" t="s">
        <v>42</v>
      </c>
      <c r="C8" s="594"/>
      <c r="D8" s="594"/>
      <c r="E8" s="594" t="s">
        <v>43</v>
      </c>
      <c r="F8" s="640">
        <f t="shared" si="3"/>
        <v>2000</v>
      </c>
      <c r="G8" s="322">
        <f>SUMIF($F$28:$F$58,"="&amp;E8,$I$28:$I$58)</f>
        <v>2500</v>
      </c>
      <c r="H8" s="256">
        <f t="shared" si="0"/>
        <v>22360.679774993627</v>
      </c>
      <c r="I8" s="256">
        <f t="shared" si="0"/>
        <v>103415.68439019668</v>
      </c>
      <c r="J8" s="322">
        <f t="shared" si="0"/>
        <v>199999.99999992363</v>
      </c>
      <c r="K8" s="323">
        <v>0.96697131184330631</v>
      </c>
      <c r="L8" s="324">
        <f t="shared" si="1"/>
        <v>181.40589569160997</v>
      </c>
      <c r="M8" s="66">
        <f t="shared" si="2"/>
        <v>28.089887640449437</v>
      </c>
    </row>
    <row r="9" spans="1:13" ht="15" x14ac:dyDescent="0.25">
      <c r="A9" s="547"/>
      <c r="B9" s="594" t="s">
        <v>44</v>
      </c>
      <c r="C9" s="594"/>
      <c r="D9" s="594"/>
      <c r="E9" s="594" t="s">
        <v>45</v>
      </c>
      <c r="F9" s="640">
        <f t="shared" si="3"/>
        <v>8400</v>
      </c>
      <c r="G9" s="322">
        <f>F9</f>
        <v>8400</v>
      </c>
      <c r="H9" s="256">
        <f t="shared" si="0"/>
        <v>84000</v>
      </c>
      <c r="I9" s="256">
        <f t="shared" si="0"/>
        <v>420000</v>
      </c>
      <c r="J9" s="322">
        <f t="shared" si="0"/>
        <v>840000</v>
      </c>
      <c r="K9" s="323">
        <v>1</v>
      </c>
      <c r="L9" s="324">
        <f t="shared" si="1"/>
        <v>0</v>
      </c>
      <c r="M9" s="66">
        <f t="shared" si="2"/>
        <v>94.382022471910119</v>
      </c>
    </row>
    <row r="10" spans="1:13" ht="15" x14ac:dyDescent="0.25">
      <c r="A10" s="547"/>
      <c r="B10" s="594" t="s">
        <v>46</v>
      </c>
      <c r="C10" s="594"/>
      <c r="D10" s="594"/>
      <c r="E10" s="594" t="s">
        <v>47</v>
      </c>
      <c r="F10" s="640">
        <f t="shared" si="3"/>
        <v>0</v>
      </c>
      <c r="G10" s="322">
        <f t="shared" ref="G10:G17" si="4">SUMIF($F$28:$F$58,"="&amp;E10,$I$28:$I$58)</f>
        <v>0</v>
      </c>
      <c r="H10" s="256">
        <f t="shared" si="0"/>
        <v>0</v>
      </c>
      <c r="I10" s="256">
        <f t="shared" si="0"/>
        <v>0</v>
      </c>
      <c r="J10" s="322">
        <f t="shared" si="0"/>
        <v>0</v>
      </c>
      <c r="K10" s="323">
        <v>0.96699999999999997</v>
      </c>
      <c r="L10" s="324">
        <f t="shared" si="1"/>
        <v>0</v>
      </c>
      <c r="M10" s="66">
        <f t="shared" si="2"/>
        <v>0</v>
      </c>
    </row>
    <row r="11" spans="1:13" ht="15" x14ac:dyDescent="0.25">
      <c r="A11" s="547"/>
      <c r="B11" s="594" t="s">
        <v>48</v>
      </c>
      <c r="C11" s="594"/>
      <c r="D11" s="594"/>
      <c r="E11" s="594" t="s">
        <v>62</v>
      </c>
      <c r="F11" s="640">
        <f t="shared" si="3"/>
        <v>0</v>
      </c>
      <c r="G11" s="322">
        <f t="shared" si="4"/>
        <v>0</v>
      </c>
      <c r="H11" s="256">
        <f t="shared" si="0"/>
        <v>0</v>
      </c>
      <c r="I11" s="256">
        <f t="shared" si="0"/>
        <v>0</v>
      </c>
      <c r="J11" s="322">
        <f t="shared" si="0"/>
        <v>0</v>
      </c>
      <c r="K11" s="323">
        <v>0.96699999999999997</v>
      </c>
      <c r="L11" s="324">
        <f t="shared" si="1"/>
        <v>0</v>
      </c>
      <c r="M11" s="66">
        <f t="shared" si="2"/>
        <v>0</v>
      </c>
    </row>
    <row r="12" spans="1:13" ht="15" x14ac:dyDescent="0.25">
      <c r="A12" s="547"/>
      <c r="B12" s="594" t="s">
        <v>63</v>
      </c>
      <c r="C12" s="594"/>
      <c r="D12" s="594"/>
      <c r="E12" s="594" t="s">
        <v>64</v>
      </c>
      <c r="F12" s="640">
        <f>SUMIF($F$66:$F$78,"="&amp;E12,$I$66:$I$78)</f>
        <v>2000</v>
      </c>
      <c r="G12" s="322">
        <f t="shared" si="4"/>
        <v>8300</v>
      </c>
      <c r="H12" s="256">
        <f>$G12*H$3^(LOG10($K12)/LOG10(2))*H$3</f>
        <v>40743.097574929197</v>
      </c>
      <c r="I12" s="256">
        <f t="shared" si="0"/>
        <v>123886.93483872707</v>
      </c>
      <c r="J12" s="322">
        <f>$G12*J$3^(LOG10($K12)/LOG10(2))*J$3</f>
        <v>200000.00000002421</v>
      </c>
      <c r="K12" s="323">
        <v>0.80718761934169747</v>
      </c>
      <c r="L12" s="324">
        <f t="shared" si="1"/>
        <v>18.140589569160998</v>
      </c>
      <c r="M12" s="66">
        <f t="shared" si="2"/>
        <v>93.258426966292134</v>
      </c>
    </row>
    <row r="13" spans="1:13" ht="15" x14ac:dyDescent="0.25">
      <c r="A13" s="547"/>
      <c r="B13" s="594" t="s">
        <v>69</v>
      </c>
      <c r="C13" s="594"/>
      <c r="D13" s="594"/>
      <c r="E13" s="594" t="s">
        <v>66</v>
      </c>
      <c r="F13" s="640">
        <f t="shared" si="3"/>
        <v>20210.068027210884</v>
      </c>
      <c r="G13" s="322">
        <f t="shared" si="4"/>
        <v>331608.27999999997</v>
      </c>
      <c r="H13" s="256">
        <f t="shared" si="0"/>
        <v>818646.84399876511</v>
      </c>
      <c r="I13" s="256">
        <f t="shared" si="0"/>
        <v>1539650.7091341505</v>
      </c>
      <c r="J13" s="322">
        <f t="shared" si="0"/>
        <v>2021007.0001543344</v>
      </c>
      <c r="K13" s="323">
        <v>0.65631996535463666</v>
      </c>
      <c r="L13" s="324">
        <f t="shared" si="1"/>
        <v>7679.8185941043084</v>
      </c>
      <c r="M13" s="66">
        <f t="shared" si="2"/>
        <v>3725.9357303370784</v>
      </c>
    </row>
    <row r="14" spans="1:13" ht="15" x14ac:dyDescent="0.25">
      <c r="A14" s="547"/>
      <c r="B14" s="594" t="s">
        <v>70</v>
      </c>
      <c r="C14" s="594"/>
      <c r="D14" s="594"/>
      <c r="E14" s="594" t="s">
        <v>67</v>
      </c>
      <c r="F14" s="640">
        <f t="shared" si="3"/>
        <v>14626.974897959186</v>
      </c>
      <c r="G14" s="322">
        <f t="shared" si="4"/>
        <v>76277.584000000003</v>
      </c>
      <c r="H14" s="256">
        <f t="shared" si="0"/>
        <v>333644.14724612725</v>
      </c>
      <c r="I14" s="256">
        <f t="shared" si="0"/>
        <v>935931.37860815693</v>
      </c>
      <c r="J14" s="322">
        <f t="shared" si="0"/>
        <v>1459385.7219126846</v>
      </c>
      <c r="K14" s="323">
        <v>0.77964354827111793</v>
      </c>
      <c r="L14" s="324">
        <f t="shared" si="1"/>
        <v>0</v>
      </c>
      <c r="M14" s="66">
        <f t="shared" si="2"/>
        <v>857.05150561797757</v>
      </c>
    </row>
    <row r="15" spans="1:13" ht="15" x14ac:dyDescent="0.25">
      <c r="A15" s="547"/>
      <c r="B15" s="594" t="s">
        <v>71</v>
      </c>
      <c r="C15" s="594"/>
      <c r="D15" s="594"/>
      <c r="E15" s="594" t="s">
        <v>72</v>
      </c>
      <c r="F15" s="640">
        <f t="shared" si="3"/>
        <v>11637.6</v>
      </c>
      <c r="G15" s="322">
        <f>SUMIF($F$28:$F$58,"="&amp;E15,$I$28:$I$58)</f>
        <v>27552</v>
      </c>
      <c r="H15" s="256">
        <f t="shared" si="0"/>
        <v>158529.40261077372</v>
      </c>
      <c r="I15" s="256">
        <f t="shared" si="0"/>
        <v>538637.71148602816</v>
      </c>
      <c r="J15" s="322">
        <f>$G15*J$3^(LOG10($K15)/LOG10(2))*J$3</f>
        <v>912150.53325089952</v>
      </c>
      <c r="K15" s="323">
        <v>0.8467198952097138</v>
      </c>
      <c r="L15" s="324">
        <f t="shared" si="1"/>
        <v>895.2</v>
      </c>
      <c r="M15" s="66">
        <f t="shared" si="2"/>
        <v>309.57303370786519</v>
      </c>
    </row>
    <row r="16" spans="1:13" ht="15" x14ac:dyDescent="0.25">
      <c r="A16" s="547"/>
      <c r="B16" s="594" t="s">
        <v>73</v>
      </c>
      <c r="C16" s="594"/>
      <c r="D16" s="594"/>
      <c r="E16" s="594" t="s">
        <v>154</v>
      </c>
      <c r="F16" s="640">
        <f t="shared" si="3"/>
        <v>17183.673469387755</v>
      </c>
      <c r="G16" s="322">
        <f t="shared" si="4"/>
        <v>28930.66</v>
      </c>
      <c r="H16" s="256">
        <f t="shared" si="0"/>
        <v>222965.22471507036</v>
      </c>
      <c r="I16" s="256">
        <f t="shared" si="0"/>
        <v>929263.3417341141</v>
      </c>
      <c r="J16" s="322">
        <f t="shared" si="0"/>
        <v>1718367.0000007546</v>
      </c>
      <c r="K16" s="323">
        <v>0.92458559529211637</v>
      </c>
      <c r="L16" s="324">
        <f t="shared" si="1"/>
        <v>3600</v>
      </c>
      <c r="M16" s="66">
        <f t="shared" si="2"/>
        <v>325.06359550561797</v>
      </c>
    </row>
    <row r="17" spans="2:25" ht="15" x14ac:dyDescent="0.25">
      <c r="B17" s="244" t="s">
        <v>155</v>
      </c>
      <c r="C17" s="244"/>
      <c r="D17" s="244"/>
      <c r="E17" s="244" t="s">
        <v>18</v>
      </c>
      <c r="F17" s="640">
        <f t="shared" si="3"/>
        <v>5000</v>
      </c>
      <c r="G17" s="322">
        <f t="shared" si="4"/>
        <v>79890.2</v>
      </c>
      <c r="H17" s="256">
        <f t="shared" si="0"/>
        <v>210106.16578446436</v>
      </c>
      <c r="I17" s="256">
        <f>$G17*I$3^(LOG10($K17)/LOG10(2))*I$3</f>
        <v>413017.02861948218</v>
      </c>
      <c r="J17" s="322">
        <f t="shared" si="0"/>
        <v>552565.9079667948</v>
      </c>
      <c r="K17" s="323">
        <v>0.66893840892439438</v>
      </c>
      <c r="L17" s="324">
        <f t="shared" si="1"/>
        <v>1511.1111111111111</v>
      </c>
      <c r="M17" s="66">
        <f t="shared" si="2"/>
        <v>897.64269662921345</v>
      </c>
      <c r="N17" s="317"/>
    </row>
    <row r="18" spans="2:25" ht="15" x14ac:dyDescent="0.25">
      <c r="B18" s="244"/>
      <c r="C18" s="244"/>
      <c r="D18" s="244"/>
      <c r="E18" s="244"/>
      <c r="F18" s="260"/>
      <c r="G18" s="260"/>
      <c r="H18" s="260"/>
      <c r="I18" s="260"/>
      <c r="J18" s="260"/>
      <c r="K18" s="244"/>
    </row>
    <row r="19" spans="2:25" ht="15" x14ac:dyDescent="0.25">
      <c r="B19" s="244"/>
      <c r="C19" s="244"/>
      <c r="D19" s="244"/>
      <c r="E19" s="259" t="s">
        <v>85</v>
      </c>
      <c r="F19" s="260">
        <f>SUM(F4:F17)</f>
        <v>160896.723877551</v>
      </c>
      <c r="G19" s="260">
        <f>SUM(G4:G17)</f>
        <v>847453.424</v>
      </c>
      <c r="H19" s="260">
        <f t="shared" ref="H19:I19" si="5">SUM(H4:H17)</f>
        <v>3372379.8201112123</v>
      </c>
      <c r="I19" s="260">
        <f t="shared" si="5"/>
        <v>9792890.3217169866</v>
      </c>
      <c r="J19" s="260">
        <f>SUM(J4:J17)</f>
        <v>15887317.163295621</v>
      </c>
      <c r="K19" s="247"/>
      <c r="L19" s="342">
        <f>SUM(L4:L17)</f>
        <v>21969.122902494331</v>
      </c>
    </row>
    <row r="20" spans="2:25" ht="15" x14ac:dyDescent="0.25">
      <c r="B20" s="75"/>
      <c r="C20" s="75"/>
      <c r="D20" s="75"/>
      <c r="E20" s="76" t="s">
        <v>123</v>
      </c>
      <c r="F20" s="261"/>
      <c r="G20" s="261">
        <f>G19/G3</f>
        <v>847453.424</v>
      </c>
      <c r="H20" s="261">
        <f>H19/H3</f>
        <v>337237.98201112123</v>
      </c>
      <c r="I20" s="261">
        <f>I19/I3</f>
        <v>195857.80643433973</v>
      </c>
      <c r="J20" s="261">
        <f>J19/J3</f>
        <v>158873.17163295622</v>
      </c>
      <c r="K20" s="244"/>
    </row>
    <row r="21" spans="2:25" ht="15" x14ac:dyDescent="0.25">
      <c r="E21" s="594" t="s">
        <v>510</v>
      </c>
      <c r="F21" s="42"/>
      <c r="G21" s="66">
        <f>G20/'Performance &amp; Economics'!$G$12</f>
        <v>9467.6954977097521</v>
      </c>
      <c r="H21" s="66"/>
      <c r="I21" s="66">
        <f>I20/G1</f>
        <v>2188.1108974901099</v>
      </c>
      <c r="J21" s="66">
        <f>J20/'Performance &amp; Economics'!$G$12</f>
        <v>1774.9209209357191</v>
      </c>
      <c r="O21" s="63"/>
      <c r="P21" s="63"/>
      <c r="Q21" s="63"/>
      <c r="R21" s="63"/>
      <c r="S21" s="63"/>
      <c r="T21" s="63"/>
      <c r="U21" s="63"/>
      <c r="V21" s="63"/>
      <c r="W21" s="63"/>
      <c r="X21" s="63"/>
      <c r="Y21" s="63"/>
    </row>
    <row r="22" spans="2:25" ht="15" x14ac:dyDescent="0.25">
      <c r="J22" s="51"/>
      <c r="O22" s="63"/>
      <c r="P22" s="63"/>
      <c r="Q22" s="63"/>
      <c r="R22" s="63"/>
      <c r="S22" s="63"/>
      <c r="T22" s="63"/>
      <c r="U22" s="63"/>
      <c r="V22" s="63"/>
      <c r="W22" s="63"/>
      <c r="X22" s="63"/>
      <c r="Y22" s="63"/>
    </row>
    <row r="23" spans="2:25" ht="15" x14ac:dyDescent="0.25">
      <c r="G23" s="488"/>
      <c r="O23" s="63"/>
      <c r="P23" s="63"/>
      <c r="Q23" s="63"/>
      <c r="R23" s="63"/>
      <c r="S23" s="63"/>
      <c r="T23" s="63"/>
      <c r="U23" s="63"/>
      <c r="V23" s="63"/>
      <c r="W23" s="63"/>
      <c r="X23" s="63"/>
      <c r="Y23" s="63"/>
    </row>
    <row r="24" spans="2:25" ht="15" x14ac:dyDescent="0.25">
      <c r="G24" s="66"/>
      <c r="O24" s="63"/>
      <c r="P24" s="63"/>
      <c r="Q24" s="63"/>
      <c r="R24" s="63"/>
      <c r="S24" s="63"/>
      <c r="T24" s="63"/>
      <c r="U24" s="63"/>
      <c r="V24" s="63"/>
      <c r="W24" s="63"/>
      <c r="X24" s="63"/>
      <c r="Y24" s="63"/>
    </row>
    <row r="25" spans="2:25" ht="15" x14ac:dyDescent="0.25">
      <c r="B25" s="60" t="s">
        <v>143</v>
      </c>
      <c r="C25" s="60"/>
      <c r="L25" s="376"/>
      <c r="O25" s="63"/>
      <c r="P25" s="63"/>
      <c r="Q25" s="63"/>
      <c r="R25" s="63"/>
      <c r="S25" s="63"/>
      <c r="T25" s="63"/>
      <c r="U25" s="63"/>
      <c r="V25" s="63"/>
      <c r="W25" s="63"/>
      <c r="X25" s="63"/>
      <c r="Y25" s="63"/>
    </row>
    <row r="26" spans="2:25" ht="15" x14ac:dyDescent="0.25">
      <c r="L26" s="376"/>
      <c r="O26" s="63"/>
      <c r="P26" s="63"/>
      <c r="Q26" s="63"/>
      <c r="R26" s="63"/>
      <c r="S26" s="63"/>
      <c r="T26" s="63"/>
      <c r="U26" s="63"/>
      <c r="V26" s="63"/>
      <c r="W26" s="63"/>
      <c r="X26" s="63"/>
      <c r="Y26" s="63"/>
    </row>
    <row r="27" spans="2:25" ht="15" x14ac:dyDescent="0.25">
      <c r="E27" s="60" t="s">
        <v>88</v>
      </c>
      <c r="F27" s="60" t="s">
        <v>121</v>
      </c>
      <c r="G27" s="60" t="s">
        <v>144</v>
      </c>
      <c r="H27" s="60" t="s">
        <v>142</v>
      </c>
      <c r="I27" s="60" t="s">
        <v>85</v>
      </c>
      <c r="J27" s="60" t="s">
        <v>350</v>
      </c>
      <c r="K27" s="535" t="s">
        <v>303</v>
      </c>
      <c r="L27" s="647" t="s">
        <v>512</v>
      </c>
      <c r="M27" s="535" t="s">
        <v>519</v>
      </c>
      <c r="O27" s="63"/>
      <c r="P27" s="63"/>
      <c r="Q27" s="63"/>
      <c r="R27" s="63"/>
      <c r="S27" s="63"/>
      <c r="T27" s="63"/>
      <c r="U27" s="63"/>
      <c r="V27" s="63"/>
      <c r="W27" s="63"/>
      <c r="X27" s="63"/>
      <c r="Y27" s="63"/>
    </row>
    <row r="28" spans="2:25" ht="15" x14ac:dyDescent="0.25">
      <c r="D28" s="72">
        <v>1</v>
      </c>
      <c r="E28" s="494" t="s">
        <v>325</v>
      </c>
      <c r="F28" s="72" t="s">
        <v>74</v>
      </c>
      <c r="G28" s="65">
        <v>21000</v>
      </c>
      <c r="H28" s="70">
        <v>2</v>
      </c>
      <c r="I28" s="475">
        <f>G28*H28</f>
        <v>42000</v>
      </c>
      <c r="J28" s="58">
        <f>1495/2.205</f>
        <v>678.00453514739229</v>
      </c>
      <c r="K28" s="90">
        <f>J28*H28</f>
        <v>1356.0090702947846</v>
      </c>
      <c r="L28" s="376">
        <f>I28/K28</f>
        <v>30.973244147157192</v>
      </c>
      <c r="M28" s="66">
        <f>I28/$G$1</f>
        <v>469.22131605407213</v>
      </c>
      <c r="N28" s="66"/>
      <c r="O28" s="63"/>
      <c r="P28" s="63"/>
      <c r="Q28" s="63"/>
      <c r="R28" s="63"/>
      <c r="S28" s="63"/>
      <c r="T28" s="63"/>
      <c r="U28" s="63"/>
      <c r="V28" s="63"/>
      <c r="W28" s="63"/>
      <c r="X28" s="63"/>
      <c r="Y28" s="63"/>
    </row>
    <row r="29" spans="2:25" ht="15" x14ac:dyDescent="0.25">
      <c r="D29" s="72">
        <v>2</v>
      </c>
      <c r="E29" s="494" t="s">
        <v>327</v>
      </c>
      <c r="F29" s="72" t="s">
        <v>74</v>
      </c>
      <c r="G29" s="65">
        <v>6000</v>
      </c>
      <c r="H29" s="70">
        <v>2</v>
      </c>
      <c r="I29" s="499">
        <f t="shared" ref="I29:I57" si="6">G29*H29</f>
        <v>12000</v>
      </c>
      <c r="J29" s="58">
        <f>392/2.205</f>
        <v>177.77777777777777</v>
      </c>
      <c r="K29" s="90">
        <f t="shared" ref="K29:K57" si="7">J29*H29</f>
        <v>355.55555555555554</v>
      </c>
      <c r="L29" s="376">
        <f t="shared" ref="L29:L57" si="8">I29/K29</f>
        <v>33.75</v>
      </c>
      <c r="M29" s="66">
        <f t="shared" ref="M29:M57" si="9">I29/$G$1</f>
        <v>134.06323315830633</v>
      </c>
      <c r="O29" s="63"/>
      <c r="P29" s="63"/>
      <c r="Q29" s="63"/>
      <c r="R29" s="63"/>
      <c r="S29" s="63"/>
      <c r="T29" s="63"/>
      <c r="U29" s="63"/>
      <c r="V29" s="63"/>
      <c r="W29" s="63"/>
      <c r="X29" s="63"/>
      <c r="Y29" s="63"/>
    </row>
    <row r="30" spans="2:25" ht="15" x14ac:dyDescent="0.25">
      <c r="D30" s="72">
        <v>3</v>
      </c>
      <c r="E30" s="72" t="s">
        <v>326</v>
      </c>
      <c r="F30" s="72" t="s">
        <v>18</v>
      </c>
      <c r="G30" s="65">
        <v>9785.1</v>
      </c>
      <c r="H30" s="70">
        <v>2</v>
      </c>
      <c r="I30" s="499">
        <f t="shared" si="6"/>
        <v>19570.2</v>
      </c>
      <c r="J30" s="58">
        <f>566/2.205</f>
        <v>256.68934240362813</v>
      </c>
      <c r="K30" s="90">
        <f t="shared" si="7"/>
        <v>513.37868480725626</v>
      </c>
      <c r="L30" s="376">
        <f t="shared" si="8"/>
        <v>38.120398409893994</v>
      </c>
      <c r="M30" s="66">
        <f t="shared" si="9"/>
        <v>218.63702379622387</v>
      </c>
      <c r="O30" s="63"/>
      <c r="P30" s="63"/>
      <c r="Q30" s="63"/>
      <c r="R30" s="63"/>
      <c r="S30" s="63"/>
      <c r="T30" s="63"/>
      <c r="U30" s="63"/>
      <c r="V30" s="63"/>
      <c r="W30" s="63"/>
      <c r="X30" s="63"/>
      <c r="Y30" s="63"/>
    </row>
    <row r="31" spans="2:25" ht="15" x14ac:dyDescent="0.25">
      <c r="D31" s="72">
        <v>4</v>
      </c>
      <c r="E31" s="72" t="s">
        <v>328</v>
      </c>
      <c r="F31" s="72" t="s">
        <v>74</v>
      </c>
      <c r="G31" s="65">
        <v>12000</v>
      </c>
      <c r="H31" s="70">
        <v>2</v>
      </c>
      <c r="I31" s="499">
        <f t="shared" si="6"/>
        <v>24000</v>
      </c>
      <c r="J31" s="58">
        <f>1075/2.205</f>
        <v>487.52834467120181</v>
      </c>
      <c r="K31" s="90">
        <f t="shared" si="7"/>
        <v>975.05668934240362</v>
      </c>
      <c r="L31" s="376">
        <f t="shared" si="8"/>
        <v>24.613953488372093</v>
      </c>
      <c r="M31" s="66">
        <f t="shared" si="9"/>
        <v>268.12646631661266</v>
      </c>
      <c r="O31" s="63"/>
      <c r="P31" s="63"/>
      <c r="Q31" s="63"/>
      <c r="R31" s="63"/>
      <c r="S31" s="63"/>
      <c r="T31" s="63"/>
      <c r="U31" s="63"/>
      <c r="V31" s="63"/>
      <c r="W31" s="63"/>
      <c r="X31" s="63"/>
      <c r="Y31" s="63"/>
    </row>
    <row r="32" spans="2:25" ht="15" x14ac:dyDescent="0.25">
      <c r="D32" s="72">
        <v>5</v>
      </c>
      <c r="E32" s="547" t="s">
        <v>329</v>
      </c>
      <c r="F32" s="547" t="s">
        <v>66</v>
      </c>
      <c r="G32" s="449">
        <v>32000</v>
      </c>
      <c r="H32" s="87">
        <v>2</v>
      </c>
      <c r="I32" s="449">
        <f t="shared" si="6"/>
        <v>64000</v>
      </c>
      <c r="J32" s="36">
        <f>988/2.205</f>
        <v>448.07256235827663</v>
      </c>
      <c r="K32" s="36">
        <f t="shared" si="7"/>
        <v>896.14512471655325</v>
      </c>
      <c r="L32" s="69">
        <f t="shared" si="8"/>
        <v>71.417004048582996</v>
      </c>
      <c r="M32" s="66">
        <f t="shared" si="9"/>
        <v>715.00391017763377</v>
      </c>
      <c r="O32" s="63"/>
      <c r="P32" s="63"/>
      <c r="Q32" s="63"/>
      <c r="R32" s="63"/>
      <c r="S32" s="63"/>
      <c r="T32" s="63"/>
      <c r="U32" s="63"/>
      <c r="V32" s="63"/>
      <c r="W32" s="63"/>
      <c r="X32" s="63"/>
      <c r="Y32" s="63"/>
    </row>
    <row r="33" spans="4:13" ht="15" x14ac:dyDescent="0.25">
      <c r="D33" s="72">
        <v>6</v>
      </c>
      <c r="E33" s="547" t="s">
        <v>330</v>
      </c>
      <c r="F33" s="547" t="s">
        <v>66</v>
      </c>
      <c r="G33" s="449">
        <v>32000</v>
      </c>
      <c r="H33" s="87">
        <v>2</v>
      </c>
      <c r="I33" s="449">
        <f t="shared" si="6"/>
        <v>64000</v>
      </c>
      <c r="J33" s="36">
        <f>988/2.205</f>
        <v>448.07256235827663</v>
      </c>
      <c r="K33" s="36">
        <f t="shared" si="7"/>
        <v>896.14512471655325</v>
      </c>
      <c r="L33" s="69">
        <f t="shared" si="8"/>
        <v>71.417004048582996</v>
      </c>
      <c r="M33" s="66">
        <f t="shared" si="9"/>
        <v>715.00391017763377</v>
      </c>
    </row>
    <row r="34" spans="4:13" ht="15" x14ac:dyDescent="0.25">
      <c r="D34" s="72">
        <v>7</v>
      </c>
      <c r="E34" s="547" t="s">
        <v>331</v>
      </c>
      <c r="F34" s="547" t="s">
        <v>66</v>
      </c>
      <c r="G34" s="449">
        <v>5000</v>
      </c>
      <c r="H34" s="87">
        <v>2</v>
      </c>
      <c r="I34" s="449">
        <f t="shared" si="6"/>
        <v>10000</v>
      </c>
      <c r="J34" s="36">
        <f>564/2.205</f>
        <v>255.78231292517006</v>
      </c>
      <c r="K34" s="36">
        <f t="shared" si="7"/>
        <v>511.56462585034012</v>
      </c>
      <c r="L34" s="69">
        <f t="shared" si="8"/>
        <v>19.547872340425531</v>
      </c>
      <c r="M34" s="66">
        <f t="shared" si="9"/>
        <v>111.71936096525528</v>
      </c>
    </row>
    <row r="35" spans="4:13" ht="15" x14ac:dyDescent="0.25">
      <c r="D35" s="72">
        <v>8</v>
      </c>
      <c r="E35" s="547" t="s">
        <v>332</v>
      </c>
      <c r="F35" s="547" t="s">
        <v>66</v>
      </c>
      <c r="G35" s="449">
        <v>5000</v>
      </c>
      <c r="H35" s="87">
        <v>2</v>
      </c>
      <c r="I35" s="449">
        <f t="shared" si="6"/>
        <v>10000</v>
      </c>
      <c r="J35" s="36">
        <f>564/2.205</f>
        <v>255.78231292517006</v>
      </c>
      <c r="K35" s="36">
        <f t="shared" si="7"/>
        <v>511.56462585034012</v>
      </c>
      <c r="L35" s="69">
        <f t="shared" si="8"/>
        <v>19.547872340425531</v>
      </c>
      <c r="M35" s="66">
        <f t="shared" si="9"/>
        <v>111.71936096525528</v>
      </c>
    </row>
    <row r="36" spans="4:13" ht="15" x14ac:dyDescent="0.25">
      <c r="D36" s="72">
        <v>9</v>
      </c>
      <c r="E36" s="547" t="s">
        <v>333</v>
      </c>
      <c r="F36" s="547" t="s">
        <v>66</v>
      </c>
      <c r="G36" s="449">
        <v>22718.87</v>
      </c>
      <c r="H36" s="87">
        <v>2</v>
      </c>
      <c r="I36" s="449">
        <f t="shared" si="6"/>
        <v>45437.74</v>
      </c>
      <c r="J36" s="36">
        <f>2002/2.205</f>
        <v>907.93650793650795</v>
      </c>
      <c r="K36" s="36">
        <f t="shared" si="7"/>
        <v>1815.8730158730159</v>
      </c>
      <c r="L36" s="69">
        <f t="shared" si="8"/>
        <v>25.022531643356643</v>
      </c>
      <c r="M36" s="66">
        <f t="shared" si="9"/>
        <v>507.62752765054177</v>
      </c>
    </row>
    <row r="37" spans="4:13" ht="15" x14ac:dyDescent="0.25">
      <c r="D37" s="72">
        <v>10</v>
      </c>
      <c r="E37" s="547" t="s">
        <v>334</v>
      </c>
      <c r="F37" s="547" t="s">
        <v>66</v>
      </c>
      <c r="G37" s="449">
        <v>22718.87</v>
      </c>
      <c r="H37" s="87">
        <v>2</v>
      </c>
      <c r="I37" s="449">
        <f t="shared" si="6"/>
        <v>45437.74</v>
      </c>
      <c r="J37" s="36">
        <f>2002/2.205</f>
        <v>907.93650793650795</v>
      </c>
      <c r="K37" s="36">
        <f t="shared" si="7"/>
        <v>1815.8730158730159</v>
      </c>
      <c r="L37" s="69">
        <f t="shared" si="8"/>
        <v>25.022531643356643</v>
      </c>
      <c r="M37" s="66">
        <f t="shared" si="9"/>
        <v>507.62752765054177</v>
      </c>
    </row>
    <row r="38" spans="4:13" ht="15" x14ac:dyDescent="0.25">
      <c r="D38" s="72">
        <v>11</v>
      </c>
      <c r="E38" s="547" t="s">
        <v>335</v>
      </c>
      <c r="F38" s="547" t="s">
        <v>66</v>
      </c>
      <c r="G38" s="449">
        <v>5183.2</v>
      </c>
      <c r="H38" s="87">
        <v>4</v>
      </c>
      <c r="I38" s="449">
        <f t="shared" si="6"/>
        <v>20732.8</v>
      </c>
      <c r="J38" s="665">
        <f>363/2.205</f>
        <v>164.62585034013605</v>
      </c>
      <c r="K38" s="36">
        <f t="shared" si="7"/>
        <v>658.50340136054422</v>
      </c>
      <c r="L38" s="69">
        <f t="shared" si="8"/>
        <v>31.484727272727273</v>
      </c>
      <c r="M38" s="66">
        <f t="shared" si="9"/>
        <v>231.62551670204445</v>
      </c>
    </row>
    <row r="39" spans="4:13" ht="15" x14ac:dyDescent="0.25">
      <c r="D39" s="72">
        <v>12</v>
      </c>
      <c r="E39" s="72" t="s">
        <v>336</v>
      </c>
      <c r="F39" s="72" t="s">
        <v>66</v>
      </c>
      <c r="G39" s="65">
        <v>3000</v>
      </c>
      <c r="H39" s="70">
        <v>4</v>
      </c>
      <c r="I39" s="499">
        <f t="shared" si="6"/>
        <v>12000</v>
      </c>
      <c r="J39" s="119">
        <f>150/2.205</f>
        <v>68.027210884353735</v>
      </c>
      <c r="K39" s="90">
        <f t="shared" si="7"/>
        <v>272.10884353741494</v>
      </c>
      <c r="L39" s="376">
        <f t="shared" si="8"/>
        <v>44.1</v>
      </c>
      <c r="M39" s="66">
        <f t="shared" si="9"/>
        <v>134.06323315830633</v>
      </c>
    </row>
    <row r="40" spans="4:13" ht="15" x14ac:dyDescent="0.25">
      <c r="D40" s="72">
        <v>13</v>
      </c>
      <c r="E40" s="72" t="s">
        <v>337</v>
      </c>
      <c r="F40" s="72" t="s">
        <v>66</v>
      </c>
      <c r="G40" s="65">
        <v>15000</v>
      </c>
      <c r="H40" s="70">
        <v>4</v>
      </c>
      <c r="I40" s="499">
        <f t="shared" si="6"/>
        <v>60000</v>
      </c>
      <c r="J40" s="58">
        <f>166.5/2.205</f>
        <v>75.510204081632651</v>
      </c>
      <c r="K40" s="90">
        <f t="shared" si="7"/>
        <v>302.0408163265306</v>
      </c>
      <c r="L40" s="376">
        <f t="shared" si="8"/>
        <v>198.64864864864865</v>
      </c>
      <c r="M40" s="66">
        <f t="shared" si="9"/>
        <v>670.3161657915316</v>
      </c>
    </row>
    <row r="41" spans="4:13" ht="15" x14ac:dyDescent="0.25">
      <c r="D41" s="62">
        <v>14</v>
      </c>
      <c r="E41" s="62" t="s">
        <v>338</v>
      </c>
      <c r="F41" s="62" t="s">
        <v>72</v>
      </c>
      <c r="G41" s="499">
        <f>27552/6</f>
        <v>4592</v>
      </c>
      <c r="H41" s="70">
        <v>6</v>
      </c>
      <c r="I41" s="499">
        <f t="shared" si="6"/>
        <v>27552</v>
      </c>
      <c r="J41" s="36">
        <f>447.6/3</f>
        <v>149.20000000000002</v>
      </c>
      <c r="K41" s="90">
        <f>J41*H41</f>
        <v>895.2</v>
      </c>
      <c r="L41" s="376">
        <f t="shared" si="8"/>
        <v>30.777479892761392</v>
      </c>
      <c r="M41" s="66">
        <f t="shared" si="9"/>
        <v>307.80918333147133</v>
      </c>
    </row>
    <row r="42" spans="4:13" ht="15" x14ac:dyDescent="0.25">
      <c r="D42" s="62">
        <v>15</v>
      </c>
      <c r="E42" s="495" t="s">
        <v>339</v>
      </c>
      <c r="F42" s="62" t="s">
        <v>18</v>
      </c>
      <c r="G42" s="4">
        <v>3660</v>
      </c>
      <c r="H42" s="70">
        <v>2</v>
      </c>
      <c r="I42" s="499">
        <f t="shared" si="6"/>
        <v>7320</v>
      </c>
      <c r="J42" s="36">
        <f>75/2.205</f>
        <v>34.013605442176868</v>
      </c>
      <c r="K42" s="90">
        <f t="shared" si="7"/>
        <v>68.027210884353735</v>
      </c>
      <c r="L42" s="376">
        <f t="shared" si="8"/>
        <v>107.60400000000001</v>
      </c>
      <c r="M42" s="66">
        <f t="shared" si="9"/>
        <v>81.778572226566865</v>
      </c>
    </row>
    <row r="43" spans="4:13" ht="15" x14ac:dyDescent="0.25">
      <c r="D43" s="62">
        <v>16</v>
      </c>
      <c r="E43" s="547" t="s">
        <v>340</v>
      </c>
      <c r="F43" s="62" t="s">
        <v>18</v>
      </c>
      <c r="G43" s="4">
        <v>20000</v>
      </c>
      <c r="H43" s="70">
        <v>2</v>
      </c>
      <c r="I43" s="499">
        <f t="shared" si="6"/>
        <v>40000</v>
      </c>
      <c r="J43" s="36">
        <f>665/2.205</f>
        <v>301.58730158730157</v>
      </c>
      <c r="K43" s="90">
        <f t="shared" si="7"/>
        <v>603.17460317460313</v>
      </c>
      <c r="L43" s="376">
        <f t="shared" si="8"/>
        <v>66.31578947368422</v>
      </c>
      <c r="M43" s="66">
        <f t="shared" si="9"/>
        <v>446.87744386102111</v>
      </c>
    </row>
    <row r="44" spans="4:13" ht="15" x14ac:dyDescent="0.25">
      <c r="D44" s="62">
        <v>17</v>
      </c>
      <c r="E44" s="547" t="s">
        <v>341</v>
      </c>
      <c r="F44" s="62" t="s">
        <v>74</v>
      </c>
      <c r="G44" s="4">
        <v>35797.35</v>
      </c>
      <c r="H44" s="70">
        <v>2</v>
      </c>
      <c r="I44" s="499">
        <f t="shared" si="6"/>
        <v>71594.7</v>
      </c>
      <c r="J44" s="36">
        <f>2000/2.205</f>
        <v>907.02947845804988</v>
      </c>
      <c r="K44" s="90">
        <f t="shared" si="7"/>
        <v>1814.0589569160998</v>
      </c>
      <c r="L44" s="376">
        <f t="shared" si="8"/>
        <v>39.466578374999997</v>
      </c>
      <c r="M44" s="66">
        <f t="shared" si="9"/>
        <v>799.85141324991616</v>
      </c>
    </row>
    <row r="45" spans="4:13" ht="15" x14ac:dyDescent="0.25">
      <c r="D45" s="62">
        <v>18</v>
      </c>
      <c r="E45" s="547" t="s">
        <v>342</v>
      </c>
      <c r="F45" s="62" t="s">
        <v>36</v>
      </c>
      <c r="G45" s="4">
        <v>50000</v>
      </c>
      <c r="H45" s="70">
        <v>2</v>
      </c>
      <c r="I45" s="499">
        <f t="shared" si="6"/>
        <v>100000</v>
      </c>
      <c r="J45" s="36">
        <f>3500/2.205</f>
        <v>1587.3015873015872</v>
      </c>
      <c r="K45" s="90">
        <f t="shared" si="7"/>
        <v>3174.6031746031745</v>
      </c>
      <c r="L45" s="376">
        <f t="shared" si="8"/>
        <v>31.5</v>
      </c>
      <c r="M45" s="66">
        <f t="shared" si="9"/>
        <v>1117.1936096525528</v>
      </c>
    </row>
    <row r="46" spans="4:13" ht="15" x14ac:dyDescent="0.25">
      <c r="D46" s="62">
        <v>19</v>
      </c>
      <c r="E46" s="547" t="s">
        <v>343</v>
      </c>
      <c r="F46" s="62" t="s">
        <v>43</v>
      </c>
      <c r="G46" s="4">
        <v>2500</v>
      </c>
      <c r="H46" s="70">
        <v>1</v>
      </c>
      <c r="I46" s="499">
        <f t="shared" si="6"/>
        <v>2500</v>
      </c>
      <c r="J46" s="36">
        <f>400/2.205</f>
        <v>181.40589569160997</v>
      </c>
      <c r="K46" s="90">
        <f t="shared" si="7"/>
        <v>181.40589569160997</v>
      </c>
      <c r="L46" s="376">
        <f t="shared" si="8"/>
        <v>13.78125</v>
      </c>
      <c r="M46" s="66">
        <f t="shared" si="9"/>
        <v>27.929840241313819</v>
      </c>
    </row>
    <row r="47" spans="4:13" ht="15" x14ac:dyDescent="0.25">
      <c r="D47" s="62">
        <v>20</v>
      </c>
      <c r="E47" s="547" t="s">
        <v>548</v>
      </c>
      <c r="F47" s="62" t="s">
        <v>64</v>
      </c>
      <c r="G47" s="77">
        <v>3300</v>
      </c>
      <c r="H47" s="70">
        <v>1</v>
      </c>
      <c r="I47" s="499">
        <f t="shared" si="6"/>
        <v>3300</v>
      </c>
      <c r="J47" s="90">
        <f>15/2.205</f>
        <v>6.8027210884353737</v>
      </c>
      <c r="K47" s="548">
        <f t="shared" si="7"/>
        <v>6.8027210884353737</v>
      </c>
      <c r="L47" s="376">
        <f t="shared" si="8"/>
        <v>485.1</v>
      </c>
      <c r="M47" s="66">
        <f t="shared" si="9"/>
        <v>36.867389118534241</v>
      </c>
    </row>
    <row r="48" spans="4:13" ht="15" x14ac:dyDescent="0.25">
      <c r="D48" s="62">
        <v>21</v>
      </c>
      <c r="E48" s="547" t="s">
        <v>344</v>
      </c>
      <c r="F48" s="62" t="s">
        <v>41</v>
      </c>
      <c r="G48" s="4">
        <v>16000</v>
      </c>
      <c r="H48" s="70">
        <v>2</v>
      </c>
      <c r="I48" s="499">
        <f t="shared" si="6"/>
        <v>32000</v>
      </c>
      <c r="J48" s="36">
        <f>250/2.205</f>
        <v>113.37868480725623</v>
      </c>
      <c r="K48" s="548">
        <f t="shared" si="7"/>
        <v>226.75736961451247</v>
      </c>
      <c r="L48" s="376">
        <f t="shared" si="8"/>
        <v>141.12</v>
      </c>
      <c r="M48" s="66">
        <f t="shared" si="9"/>
        <v>357.50195508881689</v>
      </c>
    </row>
    <row r="49" spans="2:13" ht="15" x14ac:dyDescent="0.25">
      <c r="D49" s="62">
        <v>22</v>
      </c>
      <c r="E49" s="547" t="s">
        <v>89</v>
      </c>
      <c r="F49" s="62" t="s">
        <v>64</v>
      </c>
      <c r="G49" s="4">
        <v>5000</v>
      </c>
      <c r="H49" s="70">
        <v>1</v>
      </c>
      <c r="I49" s="499">
        <f t="shared" si="6"/>
        <v>5000</v>
      </c>
      <c r="J49" s="36">
        <f>25/2.205</f>
        <v>11.337868480725623</v>
      </c>
      <c r="K49" s="548">
        <f t="shared" si="7"/>
        <v>11.337868480725623</v>
      </c>
      <c r="L49" s="376">
        <f t="shared" si="8"/>
        <v>441</v>
      </c>
      <c r="M49" s="66">
        <f t="shared" si="9"/>
        <v>55.859680482627638</v>
      </c>
    </row>
    <row r="50" spans="2:13" ht="15" x14ac:dyDescent="0.25">
      <c r="D50" s="62">
        <v>23</v>
      </c>
      <c r="E50" s="547" t="s">
        <v>345</v>
      </c>
      <c r="F50" s="62" t="s">
        <v>36</v>
      </c>
      <c r="G50" s="4">
        <v>1200</v>
      </c>
      <c r="H50" s="70">
        <v>2</v>
      </c>
      <c r="I50" s="499">
        <f t="shared" si="6"/>
        <v>2400</v>
      </c>
      <c r="J50" s="36">
        <f>200/2.205</f>
        <v>90.702947845804985</v>
      </c>
      <c r="K50" s="548">
        <f t="shared" si="7"/>
        <v>181.40589569160997</v>
      </c>
      <c r="L50" s="376">
        <f t="shared" si="8"/>
        <v>13.23</v>
      </c>
      <c r="M50" s="66">
        <f t="shared" si="9"/>
        <v>26.812646631661266</v>
      </c>
    </row>
    <row r="51" spans="2:13" ht="15" x14ac:dyDescent="0.25">
      <c r="D51" s="318">
        <v>24</v>
      </c>
      <c r="E51" s="547" t="s">
        <v>562</v>
      </c>
      <c r="F51" s="318" t="s">
        <v>18</v>
      </c>
      <c r="G51" s="231">
        <v>3800</v>
      </c>
      <c r="H51" s="70">
        <v>2</v>
      </c>
      <c r="I51" s="499">
        <f t="shared" si="6"/>
        <v>7600</v>
      </c>
      <c r="J51" s="69">
        <f>250/2.205</f>
        <v>113.37868480725623</v>
      </c>
      <c r="K51" s="548">
        <f t="shared" si="7"/>
        <v>226.75736961451247</v>
      </c>
      <c r="L51" s="376">
        <f t="shared" si="8"/>
        <v>33.515999999999998</v>
      </c>
      <c r="M51" s="66">
        <f t="shared" si="9"/>
        <v>84.90671433359401</v>
      </c>
    </row>
    <row r="52" spans="2:13" s="533" customFormat="1" ht="15" x14ac:dyDescent="0.25">
      <c r="D52" s="547">
        <v>25</v>
      </c>
      <c r="E52" s="547" t="s">
        <v>162</v>
      </c>
      <c r="F52" s="547" t="s">
        <v>18</v>
      </c>
      <c r="G52" s="449">
        <v>1200</v>
      </c>
      <c r="H52" s="536">
        <v>2</v>
      </c>
      <c r="I52" s="499">
        <f t="shared" si="6"/>
        <v>2400</v>
      </c>
      <c r="J52" s="69">
        <f>100/2.205</f>
        <v>45.351473922902493</v>
      </c>
      <c r="K52" s="548">
        <f t="shared" si="7"/>
        <v>90.702947845804985</v>
      </c>
      <c r="L52" s="376">
        <f t="shared" si="8"/>
        <v>26.46</v>
      </c>
      <c r="M52" s="66">
        <f t="shared" si="9"/>
        <v>26.812646631661266</v>
      </c>
    </row>
    <row r="53" spans="2:13" s="533" customFormat="1" ht="15" x14ac:dyDescent="0.25">
      <c r="D53" s="547">
        <v>26</v>
      </c>
      <c r="E53" s="547" t="s">
        <v>346</v>
      </c>
      <c r="F53" s="547" t="s">
        <v>18</v>
      </c>
      <c r="G53" s="449">
        <v>1500</v>
      </c>
      <c r="H53" s="536">
        <v>2</v>
      </c>
      <c r="I53" s="499">
        <f t="shared" si="6"/>
        <v>3000</v>
      </c>
      <c r="J53" s="69">
        <f>10/2.205</f>
        <v>4.5351473922902494</v>
      </c>
      <c r="K53" s="548">
        <f t="shared" si="7"/>
        <v>9.0702947845804989</v>
      </c>
      <c r="L53" s="376">
        <f t="shared" si="8"/>
        <v>330.75</v>
      </c>
      <c r="M53" s="66">
        <f t="shared" si="9"/>
        <v>33.515808289576583</v>
      </c>
    </row>
    <row r="54" spans="2:13" s="533" customFormat="1" ht="15" x14ac:dyDescent="0.25">
      <c r="D54" s="547">
        <v>27</v>
      </c>
      <c r="E54" s="547" t="s">
        <v>302</v>
      </c>
      <c r="F54" s="547" t="s">
        <v>154</v>
      </c>
      <c r="G54" s="449">
        <v>3200</v>
      </c>
      <c r="H54" s="536">
        <v>2</v>
      </c>
      <c r="I54" s="499">
        <f t="shared" si="6"/>
        <v>6400</v>
      </c>
      <c r="J54" s="69">
        <f>180/2.205</f>
        <v>81.632653061224488</v>
      </c>
      <c r="K54" s="548">
        <f t="shared" si="7"/>
        <v>163.26530612244898</v>
      </c>
      <c r="L54" s="376">
        <f t="shared" si="8"/>
        <v>39.200000000000003</v>
      </c>
      <c r="M54" s="66">
        <f t="shared" si="9"/>
        <v>71.500391017763377</v>
      </c>
    </row>
    <row r="55" spans="2:13" s="533" customFormat="1" x14ac:dyDescent="0.3">
      <c r="D55" s="547">
        <v>29</v>
      </c>
      <c r="E55" s="547" t="s">
        <v>347</v>
      </c>
      <c r="F55" s="547" t="s">
        <v>154</v>
      </c>
      <c r="G55" s="449">
        <v>6241</v>
      </c>
      <c r="H55" s="536">
        <v>2</v>
      </c>
      <c r="I55" s="499">
        <f t="shared" si="6"/>
        <v>12482</v>
      </c>
      <c r="J55" s="69">
        <f>2631/2.205</f>
        <v>1193.1972789115646</v>
      </c>
      <c r="K55" s="36">
        <f t="shared" si="7"/>
        <v>2386.3945578231292</v>
      </c>
      <c r="L55" s="376">
        <f t="shared" si="8"/>
        <v>5.2304846066134552</v>
      </c>
      <c r="M55" s="66">
        <f t="shared" si="9"/>
        <v>139.44810635683163</v>
      </c>
    </row>
    <row r="56" spans="2:13" s="533" customFormat="1" x14ac:dyDescent="0.3">
      <c r="D56" s="547">
        <v>30</v>
      </c>
      <c r="E56" s="547" t="s">
        <v>348</v>
      </c>
      <c r="F56" s="547" t="s">
        <v>154</v>
      </c>
      <c r="G56" s="449">
        <v>2000</v>
      </c>
      <c r="H56" s="536">
        <v>2</v>
      </c>
      <c r="I56" s="499">
        <f t="shared" si="6"/>
        <v>4000</v>
      </c>
      <c r="J56" s="69">
        <f>300/2.205</f>
        <v>136.05442176870747</v>
      </c>
      <c r="K56" s="36">
        <f t="shared" si="7"/>
        <v>272.10884353741494</v>
      </c>
      <c r="L56" s="376">
        <f t="shared" si="8"/>
        <v>14.700000000000001</v>
      </c>
      <c r="M56" s="66">
        <f t="shared" si="9"/>
        <v>44.687744386102111</v>
      </c>
    </row>
    <row r="57" spans="2:13" s="533" customFormat="1" x14ac:dyDescent="0.3">
      <c r="D57" s="547">
        <v>31</v>
      </c>
      <c r="E57" s="547" t="s">
        <v>349</v>
      </c>
      <c r="F57" s="547" t="s">
        <v>154</v>
      </c>
      <c r="G57" s="449">
        <v>3024.33</v>
      </c>
      <c r="H57" s="536">
        <v>2</v>
      </c>
      <c r="I57" s="499">
        <f t="shared" si="6"/>
        <v>6048.66</v>
      </c>
      <c r="J57" s="69">
        <f>858/2.205</f>
        <v>389.11564625850338</v>
      </c>
      <c r="K57" s="36">
        <f t="shared" si="7"/>
        <v>778.23129251700675</v>
      </c>
      <c r="L57" s="376">
        <f t="shared" si="8"/>
        <v>7.7723166083916091</v>
      </c>
      <c r="M57" s="66">
        <f t="shared" si="9"/>
        <v>67.575242989610089</v>
      </c>
    </row>
    <row r="58" spans="2:13" x14ac:dyDescent="0.3">
      <c r="D58" s="547">
        <v>32</v>
      </c>
      <c r="E58" s="547" t="s">
        <v>509</v>
      </c>
      <c r="F58" s="318" t="s">
        <v>67</v>
      </c>
      <c r="G58" s="231">
        <f>I58</f>
        <v>76277.584000000003</v>
      </c>
      <c r="H58" s="70">
        <v>1</v>
      </c>
      <c r="I58" s="66">
        <f>10%*SUM(I28:I57)</f>
        <v>76277.584000000003</v>
      </c>
      <c r="J58" s="69"/>
      <c r="K58" s="36"/>
    </row>
    <row r="59" spans="2:13" s="533" customFormat="1" x14ac:dyDescent="0.3">
      <c r="D59" s="547">
        <v>33</v>
      </c>
      <c r="E59" s="547" t="s">
        <v>45</v>
      </c>
      <c r="F59" s="547" t="s">
        <v>45</v>
      </c>
      <c r="G59" s="449">
        <v>8400</v>
      </c>
      <c r="H59" s="536">
        <v>1</v>
      </c>
      <c r="I59" s="66">
        <f>G59*H59</f>
        <v>8400</v>
      </c>
      <c r="J59" s="69"/>
      <c r="K59" s="36"/>
      <c r="M59" s="66"/>
    </row>
    <row r="60" spans="2:13" s="533" customFormat="1" x14ac:dyDescent="0.3">
      <c r="D60" s="547"/>
      <c r="E60" s="547"/>
      <c r="F60" s="547"/>
      <c r="G60" s="66"/>
      <c r="H60" s="536"/>
      <c r="I60" s="66"/>
      <c r="J60" s="69"/>
      <c r="K60" s="69"/>
    </row>
    <row r="61" spans="2:13" s="533" customFormat="1" x14ac:dyDescent="0.3">
      <c r="D61" s="547"/>
      <c r="E61" s="547"/>
      <c r="F61" s="547"/>
      <c r="G61" s="449"/>
      <c r="H61" s="536"/>
      <c r="I61" s="66"/>
      <c r="J61" s="69"/>
      <c r="K61" s="36"/>
    </row>
    <row r="62" spans="2:13" x14ac:dyDescent="0.3">
      <c r="F62" s="42"/>
      <c r="G62" s="44"/>
      <c r="I62" s="66"/>
    </row>
    <row r="63" spans="2:13" x14ac:dyDescent="0.3">
      <c r="B63" s="60" t="s">
        <v>152</v>
      </c>
      <c r="C63" s="60"/>
    </row>
    <row r="64" spans="2:13" x14ac:dyDescent="0.3">
      <c r="F64" s="42"/>
      <c r="G64" s="44"/>
    </row>
    <row r="65" spans="4:15" x14ac:dyDescent="0.3">
      <c r="E65" s="60" t="s">
        <v>88</v>
      </c>
      <c r="F65" s="60" t="s">
        <v>121</v>
      </c>
      <c r="G65" s="60" t="s">
        <v>144</v>
      </c>
      <c r="H65" s="60" t="s">
        <v>142</v>
      </c>
      <c r="I65" s="60" t="s">
        <v>85</v>
      </c>
      <c r="J65" s="60" t="s">
        <v>521</v>
      </c>
      <c r="K65" s="60" t="s">
        <v>512</v>
      </c>
      <c r="L65" s="361" t="s">
        <v>519</v>
      </c>
      <c r="M65" s="367"/>
      <c r="N65" s="366"/>
    </row>
    <row r="66" spans="4:15" x14ac:dyDescent="0.3">
      <c r="D66" s="72">
        <v>1</v>
      </c>
      <c r="E66" s="360" t="s">
        <v>511</v>
      </c>
      <c r="F66" s="72" t="s">
        <v>74</v>
      </c>
      <c r="G66" s="368"/>
      <c r="H66" s="70"/>
      <c r="I66" s="65">
        <f>J66*K66</f>
        <v>16000</v>
      </c>
      <c r="J66" s="548">
        <f>K28+K29+K30+K31</f>
        <v>3200</v>
      </c>
      <c r="K66" s="368">
        <v>5</v>
      </c>
      <c r="L66" s="368"/>
      <c r="M66" s="72" t="s">
        <v>531</v>
      </c>
      <c r="N66" s="365"/>
      <c r="O66" s="365"/>
    </row>
    <row r="67" spans="4:15" x14ac:dyDescent="0.3">
      <c r="D67" s="72">
        <v>2</v>
      </c>
      <c r="E67" s="360" t="s">
        <v>513</v>
      </c>
      <c r="F67" s="72" t="s">
        <v>66</v>
      </c>
      <c r="G67" s="368"/>
      <c r="H67" s="70"/>
      <c r="I67" s="499">
        <f t="shared" ref="I67:I69" si="10">J67*K67</f>
        <v>20210.068027210884</v>
      </c>
      <c r="J67" s="548">
        <f>K39+K40</f>
        <v>574.14965986394554</v>
      </c>
      <c r="K67" s="368">
        <f>17.6*2</f>
        <v>35.200000000000003</v>
      </c>
      <c r="L67" s="368"/>
      <c r="M67" s="72" t="s">
        <v>534</v>
      </c>
      <c r="N67" s="365"/>
      <c r="O67" s="365"/>
    </row>
    <row r="68" spans="4:15" x14ac:dyDescent="0.3">
      <c r="D68" s="72">
        <v>3</v>
      </c>
      <c r="E68" s="360" t="s">
        <v>514</v>
      </c>
      <c r="F68" s="72" t="s">
        <v>72</v>
      </c>
      <c r="G68" s="368"/>
      <c r="H68" s="70"/>
      <c r="I68" s="499">
        <f>J68*K68</f>
        <v>11637.6</v>
      </c>
      <c r="J68" s="548">
        <f>K41</f>
        <v>895.2</v>
      </c>
      <c r="K68" s="368">
        <v>13</v>
      </c>
      <c r="L68" s="368"/>
      <c r="M68" s="72" t="s">
        <v>533</v>
      </c>
      <c r="N68" s="365"/>
      <c r="O68" s="365"/>
    </row>
    <row r="69" spans="4:15" x14ac:dyDescent="0.3">
      <c r="D69" s="72">
        <v>4</v>
      </c>
      <c r="E69" s="360" t="s">
        <v>515</v>
      </c>
      <c r="F69" s="72" t="s">
        <v>74</v>
      </c>
      <c r="G69" s="368"/>
      <c r="H69" s="70"/>
      <c r="I69" s="499">
        <f t="shared" si="10"/>
        <v>21768.707482993195</v>
      </c>
      <c r="J69" s="548">
        <f>K44</f>
        <v>1814.0589569160998</v>
      </c>
      <c r="K69" s="656">
        <v>12</v>
      </c>
      <c r="L69" s="368"/>
      <c r="M69" s="72" t="s">
        <v>537</v>
      </c>
      <c r="N69" s="365"/>
      <c r="O69" s="365"/>
    </row>
    <row r="70" spans="4:15" x14ac:dyDescent="0.3">
      <c r="D70" s="72">
        <v>5</v>
      </c>
      <c r="E70" s="360" t="s">
        <v>516</v>
      </c>
      <c r="F70" s="72" t="s">
        <v>36</v>
      </c>
      <c r="G70" s="368"/>
      <c r="H70" s="70"/>
      <c r="I70" s="65">
        <f>G1*L70</f>
        <v>22377.5</v>
      </c>
      <c r="J70" s="78"/>
      <c r="K70" s="368"/>
      <c r="L70" s="368">
        <v>250</v>
      </c>
      <c r="M70" s="72" t="s">
        <v>527</v>
      </c>
      <c r="N70" s="365"/>
      <c r="O70" s="365"/>
    </row>
    <row r="71" spans="4:15" ht="15" customHeight="1" x14ac:dyDescent="0.3">
      <c r="D71" s="79">
        <v>6</v>
      </c>
      <c r="E71" s="360" t="s">
        <v>41</v>
      </c>
      <c r="F71" s="79" t="s">
        <v>41</v>
      </c>
      <c r="G71" s="368"/>
      <c r="H71" s="70"/>
      <c r="I71" s="65">
        <f>G1*L71</f>
        <v>19692.2</v>
      </c>
      <c r="J71" s="88"/>
      <c r="K71" s="368"/>
      <c r="L71" s="368">
        <v>220</v>
      </c>
      <c r="M71" s="72" t="s">
        <v>527</v>
      </c>
      <c r="N71" s="365"/>
      <c r="O71" s="365"/>
    </row>
    <row r="72" spans="4:15" ht="15" customHeight="1" x14ac:dyDescent="0.3">
      <c r="D72" s="72">
        <v>7</v>
      </c>
      <c r="E72" s="360" t="s">
        <v>89</v>
      </c>
      <c r="F72" s="72" t="s">
        <v>64</v>
      </c>
      <c r="G72" s="368">
        <v>1000</v>
      </c>
      <c r="H72" s="70"/>
      <c r="I72" s="65">
        <v>2000</v>
      </c>
      <c r="J72" s="89"/>
      <c r="K72" s="368"/>
      <c r="L72" s="368"/>
      <c r="M72" s="72" t="s">
        <v>528</v>
      </c>
      <c r="N72" s="365"/>
      <c r="O72" s="365"/>
    </row>
    <row r="73" spans="4:15" ht="15" customHeight="1" x14ac:dyDescent="0.3">
      <c r="D73" s="79">
        <v>8</v>
      </c>
      <c r="E73" s="360" t="s">
        <v>517</v>
      </c>
      <c r="F73" s="79" t="s">
        <v>18</v>
      </c>
      <c r="G73" s="368">
        <v>5000</v>
      </c>
      <c r="H73" s="70"/>
      <c r="I73" s="65">
        <f>G73</f>
        <v>5000</v>
      </c>
      <c r="J73" s="88"/>
      <c r="K73" s="368"/>
      <c r="L73" s="368"/>
      <c r="M73" s="72" t="s">
        <v>529</v>
      </c>
      <c r="N73" s="365"/>
      <c r="O73" s="365"/>
    </row>
    <row r="74" spans="4:15" x14ac:dyDescent="0.3">
      <c r="D74" s="72">
        <v>9</v>
      </c>
      <c r="E74" s="360" t="s">
        <v>532</v>
      </c>
      <c r="F74" s="72" t="s">
        <v>154</v>
      </c>
      <c r="G74" s="368"/>
      <c r="H74" s="70"/>
      <c r="I74" s="488">
        <f>J74*K74</f>
        <v>17183.673469387755</v>
      </c>
      <c r="J74" s="648">
        <f>K57+K56+K55</f>
        <v>3436.7346938775509</v>
      </c>
      <c r="K74" s="368">
        <v>5</v>
      </c>
      <c r="L74" s="368"/>
      <c r="N74" s="365"/>
      <c r="O74" s="365"/>
    </row>
    <row r="75" spans="4:15" x14ac:dyDescent="0.3">
      <c r="D75" s="72">
        <v>10</v>
      </c>
      <c r="E75" s="360" t="s">
        <v>518</v>
      </c>
      <c r="F75" s="72" t="s">
        <v>67</v>
      </c>
      <c r="G75" s="368"/>
      <c r="H75" s="70"/>
      <c r="I75" s="488">
        <f>10%*(SUM(I66:I74)+(SUM(I76:I78)))</f>
        <v>14626.974897959186</v>
      </c>
      <c r="J75" s="78"/>
      <c r="K75" s="368"/>
      <c r="L75" s="368"/>
      <c r="N75" s="365"/>
      <c r="O75" s="365"/>
    </row>
    <row r="76" spans="4:15" x14ac:dyDescent="0.3">
      <c r="D76" s="72">
        <v>11</v>
      </c>
      <c r="E76" s="360" t="s">
        <v>43</v>
      </c>
      <c r="F76" s="72" t="s">
        <v>43</v>
      </c>
      <c r="G76" s="368">
        <v>2000</v>
      </c>
      <c r="H76" s="70"/>
      <c r="I76" s="65">
        <f>G76</f>
        <v>2000</v>
      </c>
      <c r="J76" s="78"/>
      <c r="K76" s="368"/>
      <c r="L76" s="368"/>
      <c r="N76" s="365"/>
      <c r="O76" s="365"/>
    </row>
    <row r="77" spans="4:15" x14ac:dyDescent="0.3">
      <c r="D77" s="72">
        <v>12</v>
      </c>
      <c r="E77" s="360" t="s">
        <v>45</v>
      </c>
      <c r="F77" s="72" t="s">
        <v>45</v>
      </c>
      <c r="G77" s="368"/>
      <c r="H77" s="70"/>
      <c r="I77" s="65">
        <f>140*60</f>
        <v>8400</v>
      </c>
      <c r="J77" s="78"/>
      <c r="K77" s="368"/>
      <c r="L77" s="368"/>
      <c r="M77" s="72" t="s">
        <v>530</v>
      </c>
      <c r="N77" s="365"/>
      <c r="O77" s="365"/>
    </row>
    <row r="78" spans="4:15" ht="18" customHeight="1" x14ac:dyDescent="0.3">
      <c r="E78" s="360"/>
      <c r="F78" s="62"/>
      <c r="G78" s="368"/>
      <c r="H78" s="87"/>
      <c r="I78" s="65"/>
      <c r="J78" s="78"/>
      <c r="K78" s="368"/>
      <c r="L78" s="368"/>
      <c r="N78" s="365"/>
      <c r="O78" s="365"/>
    </row>
    <row r="79" spans="4:15" x14ac:dyDescent="0.3">
      <c r="D79" s="351" t="s">
        <v>86</v>
      </c>
      <c r="E79" s="351"/>
      <c r="F79" s="351"/>
      <c r="G79" s="651"/>
      <c r="H79" s="652"/>
      <c r="I79" s="653">
        <f>SUM(I66:I78)</f>
        <v>160896.72387755103</v>
      </c>
      <c r="J79" s="69"/>
      <c r="K79" s="362"/>
      <c r="L79" s="362"/>
    </row>
    <row r="80" spans="4:15" s="372" customFormat="1" x14ac:dyDescent="0.3">
      <c r="G80" s="374"/>
      <c r="H80" s="70"/>
      <c r="I80" s="649">
        <f>I79/89.5</f>
        <v>1797.7287584083915</v>
      </c>
      <c r="J80" s="69"/>
      <c r="K80" s="373"/>
      <c r="L80" s="373"/>
    </row>
    <row r="81" spans="1:8" s="533" customFormat="1" ht="15.6" x14ac:dyDescent="0.3">
      <c r="B81" s="80"/>
      <c r="D81" s="80"/>
      <c r="E81" s="335"/>
      <c r="F81" s="336"/>
      <c r="G81" s="337"/>
      <c r="H81" s="338"/>
    </row>
    <row r="82" spans="1:8" s="317" customFormat="1" ht="15.6" x14ac:dyDescent="0.3">
      <c r="A82" s="241" t="s">
        <v>295</v>
      </c>
      <c r="B82" s="80"/>
      <c r="D82" s="80"/>
      <c r="E82" s="335"/>
      <c r="F82" s="336"/>
      <c r="G82" s="337"/>
      <c r="H82" s="338"/>
    </row>
    <row r="83" spans="1:8" s="317" customFormat="1" ht="15.6" x14ac:dyDescent="0.3">
      <c r="A83" s="241"/>
      <c r="B83" s="664" t="s">
        <v>563</v>
      </c>
      <c r="D83" s="369" t="s">
        <v>559</v>
      </c>
      <c r="E83" s="335"/>
      <c r="F83" s="336"/>
      <c r="G83" s="337"/>
      <c r="H83" s="338"/>
    </row>
    <row r="84" spans="1:8" s="533" customFormat="1" ht="15.6" x14ac:dyDescent="0.3">
      <c r="A84" s="535"/>
      <c r="B84" s="533" t="s">
        <v>564</v>
      </c>
      <c r="D84" s="662" t="s">
        <v>560</v>
      </c>
      <c r="E84" s="335"/>
      <c r="F84" s="336"/>
      <c r="G84" s="337"/>
      <c r="H84" s="338"/>
    </row>
    <row r="85" spans="1:8" s="533" customFormat="1" ht="15.6" x14ac:dyDescent="0.3">
      <c r="A85" s="535"/>
      <c r="B85" s="533" t="s">
        <v>565</v>
      </c>
      <c r="D85" s="662" t="s">
        <v>559</v>
      </c>
      <c r="E85" s="335"/>
      <c r="F85" s="336"/>
      <c r="G85" s="337"/>
      <c r="H85" s="338"/>
    </row>
    <row r="86" spans="1:8" s="533" customFormat="1" ht="15.6" x14ac:dyDescent="0.3">
      <c r="A86" s="535"/>
      <c r="B86" s="533">
        <v>22</v>
      </c>
      <c r="D86" s="662" t="s">
        <v>561</v>
      </c>
      <c r="E86" s="335"/>
      <c r="F86" s="336"/>
      <c r="G86" s="337"/>
      <c r="H86" s="338"/>
    </row>
    <row r="87" spans="1:8" s="662" customFormat="1" ht="15.6" x14ac:dyDescent="0.3">
      <c r="A87" s="535"/>
      <c r="B87" s="662" t="s">
        <v>566</v>
      </c>
      <c r="D87" s="662" t="s">
        <v>559</v>
      </c>
      <c r="E87" s="335"/>
      <c r="F87" s="336"/>
      <c r="G87" s="337"/>
      <c r="H87" s="338"/>
    </row>
    <row r="88" spans="1:8" s="662" customFormat="1" ht="15.6" x14ac:dyDescent="0.3">
      <c r="A88" s="535"/>
      <c r="B88" s="662">
        <v>32</v>
      </c>
      <c r="D88" s="662" t="s">
        <v>567</v>
      </c>
      <c r="E88" s="335"/>
      <c r="F88" s="336"/>
      <c r="G88" s="337"/>
      <c r="H88" s="338"/>
    </row>
    <row r="89" spans="1:8" s="662" customFormat="1" ht="15.6" x14ac:dyDescent="0.3">
      <c r="A89" s="535"/>
      <c r="B89" s="662">
        <v>33</v>
      </c>
      <c r="D89" s="662" t="s">
        <v>567</v>
      </c>
      <c r="E89" s="335"/>
      <c r="F89" s="336"/>
      <c r="G89" s="337"/>
      <c r="H89" s="338"/>
    </row>
    <row r="90" spans="1:8" s="533" customFormat="1" ht="15.6" x14ac:dyDescent="0.3">
      <c r="A90" s="535"/>
      <c r="D90" s="80"/>
      <c r="E90" s="335"/>
      <c r="F90" s="336"/>
      <c r="G90" s="337"/>
      <c r="H90" s="338"/>
    </row>
    <row r="91" spans="1:8" s="317" customFormat="1" ht="15.6" x14ac:dyDescent="0.3">
      <c r="A91" s="241" t="s">
        <v>549</v>
      </c>
      <c r="B91" s="339"/>
      <c r="D91" s="80"/>
      <c r="E91" s="335"/>
      <c r="F91" s="336"/>
      <c r="G91" s="337"/>
      <c r="H91" s="338"/>
    </row>
    <row r="92" spans="1:8" s="533" customFormat="1" ht="15.6" x14ac:dyDescent="0.3">
      <c r="A92" s="535"/>
      <c r="B92" s="664" t="s">
        <v>563</v>
      </c>
      <c r="C92" s="664"/>
      <c r="D92" s="662" t="s">
        <v>559</v>
      </c>
      <c r="E92" s="335"/>
      <c r="F92" s="336"/>
      <c r="G92" s="337"/>
      <c r="H92" s="338"/>
    </row>
    <row r="93" spans="1:8" s="533" customFormat="1" ht="15.6" x14ac:dyDescent="0.3">
      <c r="A93" s="535"/>
      <c r="B93" s="662" t="s">
        <v>564</v>
      </c>
      <c r="C93" s="662"/>
      <c r="D93" s="662" t="s">
        <v>560</v>
      </c>
      <c r="E93" s="335"/>
      <c r="F93" s="336"/>
      <c r="G93" s="337"/>
      <c r="H93" s="338"/>
    </row>
    <row r="94" spans="1:8" s="533" customFormat="1" ht="15.6" x14ac:dyDescent="0.3">
      <c r="A94" s="535"/>
      <c r="B94" s="662" t="s">
        <v>565</v>
      </c>
      <c r="C94" s="662"/>
      <c r="D94" s="662" t="s">
        <v>559</v>
      </c>
      <c r="E94" s="335"/>
      <c r="F94" s="336"/>
      <c r="G94" s="337"/>
      <c r="H94" s="338"/>
    </row>
    <row r="95" spans="1:8" s="533" customFormat="1" ht="15.6" x14ac:dyDescent="0.3">
      <c r="A95" s="535"/>
      <c r="B95" s="662">
        <v>22</v>
      </c>
      <c r="C95" s="662"/>
      <c r="D95" s="662" t="s">
        <v>561</v>
      </c>
      <c r="E95" s="335"/>
      <c r="F95" s="336"/>
      <c r="G95" s="337"/>
      <c r="H95" s="338"/>
    </row>
    <row r="96" spans="1:8" s="533" customFormat="1" ht="15.6" x14ac:dyDescent="0.3">
      <c r="A96" s="535"/>
      <c r="B96" s="662" t="s">
        <v>566</v>
      </c>
      <c r="C96" s="662"/>
      <c r="D96" s="662" t="s">
        <v>559</v>
      </c>
      <c r="E96" s="335"/>
      <c r="F96" s="336"/>
      <c r="G96" s="337"/>
      <c r="H96" s="338"/>
    </row>
    <row r="97" spans="1:8" s="533" customFormat="1" ht="15.6" x14ac:dyDescent="0.3">
      <c r="A97" s="535"/>
      <c r="B97" s="662">
        <v>32</v>
      </c>
      <c r="C97" s="662"/>
      <c r="D97" s="662" t="s">
        <v>567</v>
      </c>
      <c r="E97" s="335"/>
      <c r="F97" s="336"/>
      <c r="G97" s="337"/>
      <c r="H97" s="338"/>
    </row>
    <row r="98" spans="1:8" s="533" customFormat="1" ht="15.6" x14ac:dyDescent="0.3">
      <c r="A98" s="535"/>
      <c r="B98" s="662">
        <v>33</v>
      </c>
      <c r="C98" s="662"/>
      <c r="D98" s="662" t="s">
        <v>567</v>
      </c>
      <c r="E98" s="335"/>
      <c r="F98" s="336"/>
      <c r="G98" s="337"/>
      <c r="H98" s="338"/>
    </row>
    <row r="99" spans="1:8" s="533" customFormat="1" ht="15.6" x14ac:dyDescent="0.3">
      <c r="A99" s="535"/>
      <c r="B99" s="534"/>
      <c r="C99" s="534"/>
      <c r="D99" s="339"/>
      <c r="E99" s="335"/>
      <c r="F99" s="336"/>
      <c r="G99" s="337"/>
      <c r="H99" s="338"/>
    </row>
    <row r="100" spans="1:8" s="533" customFormat="1" ht="15.6" x14ac:dyDescent="0.3">
      <c r="A100" s="241" t="s">
        <v>294</v>
      </c>
      <c r="B100" s="317"/>
      <c r="C100" s="317"/>
      <c r="D100" s="317"/>
      <c r="E100" s="65"/>
      <c r="F100" s="70"/>
      <c r="G100" s="337"/>
      <c r="H100" s="338"/>
    </row>
    <row r="101" spans="1:8" s="533" customFormat="1" ht="15.6" x14ac:dyDescent="0.3">
      <c r="A101" s="371"/>
      <c r="B101" s="372" t="s">
        <v>536</v>
      </c>
      <c r="C101" s="369"/>
      <c r="D101" s="369"/>
      <c r="E101" s="370"/>
      <c r="F101" s="70"/>
      <c r="G101" s="337"/>
      <c r="H101" s="338"/>
    </row>
    <row r="102" spans="1:8" s="662" customFormat="1" ht="15.6" x14ac:dyDescent="0.3">
      <c r="A102" s="535"/>
      <c r="B102" s="662" t="s">
        <v>573</v>
      </c>
      <c r="E102" s="499"/>
      <c r="F102" s="536"/>
      <c r="G102" s="337"/>
      <c r="H102" s="338"/>
    </row>
    <row r="103" spans="1:8" s="533" customFormat="1" ht="15.6" x14ac:dyDescent="0.3">
      <c r="A103" s="371"/>
      <c r="B103" s="372">
        <v>1</v>
      </c>
      <c r="C103" s="369"/>
      <c r="D103" s="369" t="s">
        <v>526</v>
      </c>
      <c r="E103" s="370"/>
      <c r="F103" s="70"/>
      <c r="G103" s="337"/>
      <c r="H103" s="338"/>
    </row>
    <row r="104" spans="1:8" s="533" customFormat="1" ht="15.6" x14ac:dyDescent="0.3">
      <c r="A104" s="371"/>
      <c r="B104" s="372">
        <v>2</v>
      </c>
      <c r="C104" s="369"/>
      <c r="D104" s="369" t="s">
        <v>522</v>
      </c>
      <c r="E104" s="370"/>
      <c r="F104" s="70"/>
      <c r="G104" s="337"/>
      <c r="H104" s="338"/>
    </row>
    <row r="105" spans="1:8" s="533" customFormat="1" ht="15.6" x14ac:dyDescent="0.3">
      <c r="A105" s="371"/>
      <c r="B105" s="372">
        <v>3</v>
      </c>
      <c r="C105" s="369"/>
      <c r="D105" s="369" t="s">
        <v>541</v>
      </c>
      <c r="E105" s="370"/>
      <c r="F105" s="70"/>
      <c r="G105" s="337"/>
      <c r="H105" s="338"/>
    </row>
    <row r="106" spans="1:8" s="533" customFormat="1" ht="15.6" x14ac:dyDescent="0.3">
      <c r="A106" s="371"/>
      <c r="B106" s="372">
        <v>4</v>
      </c>
      <c r="C106" s="369"/>
      <c r="D106" s="369" t="s">
        <v>523</v>
      </c>
      <c r="E106" s="370"/>
      <c r="F106" s="70"/>
      <c r="G106" s="337"/>
      <c r="H106" s="338"/>
    </row>
    <row r="107" spans="1:8" s="533" customFormat="1" ht="15.6" x14ac:dyDescent="0.3">
      <c r="A107" s="535"/>
      <c r="B107" s="533">
        <v>5</v>
      </c>
      <c r="D107" s="533" t="s">
        <v>569</v>
      </c>
      <c r="E107" s="499"/>
      <c r="F107" s="536"/>
      <c r="G107" s="337"/>
      <c r="H107" s="338"/>
    </row>
    <row r="108" spans="1:8" s="533" customFormat="1" ht="15.6" x14ac:dyDescent="0.3">
      <c r="A108" s="535"/>
      <c r="B108" s="533">
        <v>6</v>
      </c>
      <c r="D108" s="533" t="s">
        <v>570</v>
      </c>
      <c r="E108" s="499"/>
      <c r="F108" s="536"/>
      <c r="G108" s="337"/>
      <c r="H108" s="338"/>
    </row>
    <row r="109" spans="1:8" s="533" customFormat="1" ht="15.6" x14ac:dyDescent="0.3">
      <c r="A109" s="535"/>
      <c r="B109" s="533">
        <v>7</v>
      </c>
      <c r="D109" s="533" t="s">
        <v>571</v>
      </c>
      <c r="E109" s="499"/>
      <c r="F109" s="536"/>
      <c r="G109" s="337"/>
      <c r="H109" s="338"/>
    </row>
    <row r="110" spans="1:8" s="533" customFormat="1" ht="15.6" x14ac:dyDescent="0.3">
      <c r="A110" s="535"/>
      <c r="B110" s="533">
        <v>8</v>
      </c>
      <c r="D110" s="533" t="s">
        <v>529</v>
      </c>
      <c r="E110" s="499"/>
      <c r="F110" s="536"/>
      <c r="G110" s="337"/>
      <c r="H110" s="338"/>
    </row>
    <row r="111" spans="1:8" s="533" customFormat="1" ht="15.6" x14ac:dyDescent="0.3">
      <c r="A111" s="535"/>
      <c r="B111" s="533">
        <v>9</v>
      </c>
      <c r="D111" s="533" t="s">
        <v>524</v>
      </c>
      <c r="E111" s="499"/>
      <c r="F111" s="536"/>
      <c r="G111" s="337"/>
      <c r="H111" s="338"/>
    </row>
    <row r="112" spans="1:8" s="533" customFormat="1" ht="15.6" x14ac:dyDescent="0.3">
      <c r="A112" s="535"/>
      <c r="B112" s="533">
        <v>10</v>
      </c>
      <c r="D112" s="533" t="s">
        <v>572</v>
      </c>
      <c r="E112" s="499"/>
      <c r="F112" s="536"/>
      <c r="G112" s="337" t="s">
        <v>84</v>
      </c>
      <c r="H112" s="338"/>
    </row>
    <row r="113" spans="1:10" s="533" customFormat="1" ht="15.6" x14ac:dyDescent="0.3">
      <c r="A113" s="535"/>
      <c r="B113" s="533">
        <v>11</v>
      </c>
      <c r="D113" s="533" t="s">
        <v>529</v>
      </c>
      <c r="E113" s="499"/>
      <c r="F113" s="536"/>
      <c r="G113" s="655"/>
      <c r="H113" s="338"/>
    </row>
    <row r="114" spans="1:10" s="533" customFormat="1" ht="15.6" x14ac:dyDescent="0.3">
      <c r="A114" s="535"/>
      <c r="B114" s="533">
        <v>12</v>
      </c>
      <c r="D114" s="533" t="s">
        <v>525</v>
      </c>
      <c r="E114" s="499"/>
      <c r="F114" s="536"/>
      <c r="G114" s="655"/>
      <c r="H114" s="338"/>
    </row>
    <row r="115" spans="1:10" s="533" customFormat="1" ht="15.6" x14ac:dyDescent="0.3">
      <c r="A115" s="535"/>
      <c r="E115" s="499"/>
      <c r="F115" s="536"/>
      <c r="G115" s="655"/>
      <c r="H115" s="338"/>
    </row>
    <row r="116" spans="1:10" s="533" customFormat="1" ht="15.6" x14ac:dyDescent="0.3">
      <c r="A116" s="535"/>
      <c r="E116" s="499"/>
      <c r="F116" s="536"/>
      <c r="G116" s="337"/>
      <c r="H116" s="338"/>
    </row>
    <row r="117" spans="1:10" s="533" customFormat="1" ht="15.6" x14ac:dyDescent="0.3">
      <c r="A117" s="535" t="s">
        <v>550</v>
      </c>
      <c r="E117" s="499"/>
      <c r="F117" s="536"/>
      <c r="G117" s="337"/>
      <c r="H117" s="338"/>
    </row>
    <row r="118" spans="1:10" s="317" customFormat="1" ht="15.6" x14ac:dyDescent="0.3">
      <c r="A118" s="535"/>
      <c r="B118" s="533">
        <v>1</v>
      </c>
      <c r="C118" s="533"/>
      <c r="D118" s="533" t="s">
        <v>568</v>
      </c>
      <c r="E118" s="499"/>
      <c r="F118" s="536"/>
      <c r="G118" s="337"/>
      <c r="H118" s="338"/>
    </row>
    <row r="119" spans="1:10" s="317" customFormat="1" ht="15.6" x14ac:dyDescent="0.3">
      <c r="A119" s="535"/>
      <c r="B119" s="533">
        <v>2</v>
      </c>
      <c r="C119" s="533"/>
      <c r="D119" s="662" t="s">
        <v>568</v>
      </c>
      <c r="E119" s="499"/>
      <c r="F119" s="536"/>
      <c r="G119" s="337"/>
      <c r="H119" s="338"/>
    </row>
    <row r="120" spans="1:10" s="317" customFormat="1" ht="15.6" x14ac:dyDescent="0.3">
      <c r="A120" s="535"/>
      <c r="B120" s="533">
        <v>3</v>
      </c>
      <c r="C120" s="533"/>
      <c r="D120" s="662" t="s">
        <v>568</v>
      </c>
      <c r="E120" s="499"/>
      <c r="F120" s="536"/>
      <c r="G120" s="337"/>
      <c r="H120" s="338"/>
    </row>
    <row r="121" spans="1:10" s="317" customFormat="1" ht="15.6" x14ac:dyDescent="0.3">
      <c r="A121" s="535"/>
      <c r="B121" s="533">
        <v>4</v>
      </c>
      <c r="C121" s="533"/>
      <c r="D121" s="662" t="s">
        <v>568</v>
      </c>
      <c r="E121" s="499"/>
      <c r="F121" s="536"/>
      <c r="G121" s="337"/>
      <c r="H121" s="338"/>
    </row>
    <row r="122" spans="1:10" s="317" customFormat="1" ht="15.6" x14ac:dyDescent="0.3">
      <c r="A122" s="535"/>
      <c r="B122" s="533">
        <v>5</v>
      </c>
      <c r="C122" s="533"/>
      <c r="D122" s="662" t="s">
        <v>568</v>
      </c>
      <c r="E122" s="499"/>
      <c r="F122" s="536"/>
      <c r="G122" s="337"/>
      <c r="H122" s="338"/>
    </row>
    <row r="123" spans="1:10" s="317" customFormat="1" ht="15.6" x14ac:dyDescent="0.3">
      <c r="A123" s="535"/>
      <c r="B123" s="533">
        <v>6</v>
      </c>
      <c r="C123" s="533"/>
      <c r="D123" s="662" t="s">
        <v>568</v>
      </c>
      <c r="E123" s="499"/>
      <c r="F123" s="536"/>
      <c r="G123" s="337"/>
      <c r="H123" s="338"/>
    </row>
    <row r="124" spans="1:10" s="317" customFormat="1" ht="15.6" x14ac:dyDescent="0.3">
      <c r="A124" s="535"/>
      <c r="B124" s="533">
        <v>7</v>
      </c>
      <c r="C124" s="533"/>
      <c r="D124" s="662" t="s">
        <v>568</v>
      </c>
      <c r="E124" s="499"/>
      <c r="F124" s="536"/>
      <c r="G124" s="335"/>
      <c r="H124" s="336"/>
      <c r="I124" s="337"/>
      <c r="J124" s="338"/>
    </row>
    <row r="125" spans="1:10" x14ac:dyDescent="0.3">
      <c r="A125" s="375"/>
      <c r="B125" s="372">
        <v>8</v>
      </c>
      <c r="C125" s="372"/>
      <c r="D125" s="662" t="s">
        <v>568</v>
      </c>
      <c r="E125" s="374"/>
      <c r="F125" s="70"/>
    </row>
    <row r="126" spans="1:10" x14ac:dyDescent="0.3">
      <c r="A126" s="317"/>
      <c r="B126" s="494">
        <v>9</v>
      </c>
      <c r="C126" s="363"/>
      <c r="D126" s="662" t="s">
        <v>568</v>
      </c>
      <c r="E126" s="65"/>
      <c r="F126" s="70"/>
    </row>
    <row r="127" spans="1:10" ht="15.6" x14ac:dyDescent="0.3">
      <c r="A127" s="317"/>
      <c r="B127" s="339">
        <v>10</v>
      </c>
      <c r="C127" s="364"/>
      <c r="D127" s="662" t="s">
        <v>568</v>
      </c>
      <c r="E127" s="335"/>
      <c r="F127" s="336"/>
    </row>
    <row r="128" spans="1:10" ht="15.6" x14ac:dyDescent="0.3">
      <c r="A128" s="317"/>
      <c r="B128" s="339">
        <v>11</v>
      </c>
      <c r="C128" s="317"/>
      <c r="D128" s="662" t="s">
        <v>568</v>
      </c>
      <c r="E128" s="335"/>
      <c r="F128" s="336"/>
    </row>
    <row r="129" spans="1:6" ht="15.6" x14ac:dyDescent="0.3">
      <c r="A129" s="317"/>
      <c r="B129" s="339">
        <v>12</v>
      </c>
      <c r="C129" s="317"/>
      <c r="D129" s="662" t="s">
        <v>568</v>
      </c>
      <c r="E129" s="335"/>
      <c r="F129" s="336"/>
    </row>
  </sheetData>
  <dataConsolidate/>
  <mergeCells count="2">
    <mergeCell ref="B4:C4"/>
    <mergeCell ref="B5:C5"/>
  </mergeCells>
  <dataValidations count="2">
    <dataValidation type="list" showInputMessage="1" showErrorMessage="1" sqref="K62 F66:F80 F28:F61">
      <formula1>$E$4:$E$17</formula1>
    </dataValidation>
    <dataValidation type="list" showInputMessage="1" showErrorMessage="1" sqref="E4:E17 D100:D102 D115:D117 D90:D91 D81:D82">
      <formula1>#REF!</formula1>
    </dataValidation>
  </dataValidation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6"/>
  <sheetViews>
    <sheetView zoomScale="70" zoomScaleNormal="70" workbookViewId="0">
      <selection activeCell="F19" sqref="F19"/>
    </sheetView>
  </sheetViews>
  <sheetFormatPr defaultRowHeight="14.4" x14ac:dyDescent="0.3"/>
  <cols>
    <col min="1" max="1" width="6" customWidth="1"/>
    <col min="4" max="4" width="26" customWidth="1"/>
    <col min="5" max="8" width="22.88671875" bestFit="1" customWidth="1"/>
  </cols>
  <sheetData>
    <row r="1" spans="1:10" x14ac:dyDescent="0.25">
      <c r="A1" s="60" t="s">
        <v>178</v>
      </c>
    </row>
    <row r="2" spans="1:10" x14ac:dyDescent="0.25">
      <c r="E2" s="66"/>
      <c r="F2" s="66"/>
      <c r="G2" s="66"/>
      <c r="H2" s="66"/>
    </row>
    <row r="3" spans="1:10" x14ac:dyDescent="0.25">
      <c r="E3">
        <v>1</v>
      </c>
      <c r="F3">
        <v>10</v>
      </c>
      <c r="G3">
        <v>50</v>
      </c>
      <c r="H3">
        <v>100</v>
      </c>
    </row>
    <row r="4" spans="1:10" s="533" customFormat="1" x14ac:dyDescent="0.25">
      <c r="D4" s="533" t="s">
        <v>551</v>
      </c>
      <c r="E4" s="499">
        <f>'CBS (Total)'!J24+'CBS (Total)'!J29</f>
        <v>1143119.3733661096</v>
      </c>
      <c r="F4" s="499">
        <f>'CBS (Total)'!L24+'CBS (Total)'!L29</f>
        <v>5446045.0115181413</v>
      </c>
      <c r="G4" s="499">
        <f>'CBS (Total)'!N24+'CBS (Total)'!N29</f>
        <v>18893724.365353458</v>
      </c>
      <c r="H4" s="499">
        <f>'CBS (Total)'!P24+'CBS (Total)'!P29</f>
        <v>33489467.990425289</v>
      </c>
      <c r="J4" s="499"/>
    </row>
    <row r="5" spans="1:10" x14ac:dyDescent="0.25">
      <c r="B5" s="67"/>
      <c r="E5" s="29">
        <v>0.1</v>
      </c>
      <c r="F5" s="29">
        <v>0.1</v>
      </c>
      <c r="G5" s="29">
        <v>0.1</v>
      </c>
      <c r="H5" s="29">
        <v>0.1</v>
      </c>
    </row>
    <row r="6" spans="1:10" s="533" customFormat="1" x14ac:dyDescent="0.25">
      <c r="E6" s="29"/>
      <c r="F6" s="29"/>
      <c r="G6" s="29"/>
      <c r="H6" s="29"/>
    </row>
    <row r="7" spans="1:10" x14ac:dyDescent="0.25">
      <c r="B7" s="67"/>
      <c r="D7" s="351" t="s">
        <v>106</v>
      </c>
      <c r="E7" s="651">
        <f>E4*E5</f>
        <v>114311.93733661096</v>
      </c>
      <c r="F7" s="651">
        <f t="shared" ref="F7:H7" si="0">F4*F5</f>
        <v>544604.50115181413</v>
      </c>
      <c r="G7" s="651">
        <f t="shared" si="0"/>
        <v>1889372.4365353459</v>
      </c>
      <c r="H7" s="651">
        <f t="shared" si="0"/>
        <v>3348946.799042529</v>
      </c>
    </row>
    <row r="8" spans="1:10" x14ac:dyDescent="0.25">
      <c r="E8" s="66" t="s">
        <v>179</v>
      </c>
      <c r="F8" s="66" t="s">
        <v>179</v>
      </c>
      <c r="G8" s="66" t="s">
        <v>179</v>
      </c>
      <c r="H8" s="66" t="s">
        <v>179</v>
      </c>
    </row>
    <row r="10" spans="1:10" s="317" customFormat="1" x14ac:dyDescent="0.25">
      <c r="A10" s="241" t="s">
        <v>286</v>
      </c>
      <c r="E10" s="65"/>
      <c r="F10" s="65"/>
      <c r="G10" s="65"/>
      <c r="H10" s="65"/>
    </row>
    <row r="11" spans="1:10" s="317" customFormat="1" x14ac:dyDescent="0.25">
      <c r="A11" s="317">
        <v>1.6</v>
      </c>
      <c r="B11" s="377" t="s">
        <v>92</v>
      </c>
      <c r="E11" s="65"/>
      <c r="F11" s="65"/>
      <c r="G11" s="65"/>
      <c r="H11" s="65"/>
    </row>
    <row r="12" spans="1:10" s="317" customFormat="1" x14ac:dyDescent="0.25">
      <c r="B12" s="377" t="s">
        <v>93</v>
      </c>
    </row>
    <row r="13" spans="1:10" s="317" customFormat="1" x14ac:dyDescent="0.25">
      <c r="B13" s="378" t="s">
        <v>304</v>
      </c>
    </row>
    <row r="14" spans="1:10" s="317" customFormat="1" x14ac:dyDescent="0.25"/>
    <row r="15" spans="1:10" s="317" customFormat="1" x14ac:dyDescent="0.25">
      <c r="A15" s="241" t="s">
        <v>283</v>
      </c>
    </row>
    <row r="16" spans="1:10" s="317" customFormat="1" x14ac:dyDescent="0.25">
      <c r="A16" s="317">
        <v>1.6</v>
      </c>
      <c r="B16" s="317" t="s">
        <v>547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111"/>
  <sheetViews>
    <sheetView topLeftCell="A51" zoomScale="70" zoomScaleNormal="70" workbookViewId="0">
      <selection activeCell="B104" sqref="B104:B109"/>
    </sheetView>
  </sheetViews>
  <sheetFormatPr defaultColWidth="9.109375" defaultRowHeight="14.4" x14ac:dyDescent="0.3"/>
  <cols>
    <col min="1" max="1" width="6.88671875" style="7" customWidth="1"/>
    <col min="2" max="2" width="3.6640625" style="7" customWidth="1"/>
    <col min="3" max="3" width="4.109375" style="7" customWidth="1"/>
    <col min="4" max="4" width="31.5546875" style="7" customWidth="1"/>
    <col min="5" max="5" width="13.44140625" style="7" customWidth="1"/>
    <col min="6" max="6" width="15" style="7" bestFit="1" customWidth="1"/>
    <col min="7" max="7" width="16.88671875" style="7" bestFit="1" customWidth="1"/>
    <col min="8" max="8" width="16.44140625" style="7" bestFit="1" customWidth="1"/>
    <col min="9" max="9" width="15.88671875" style="7" customWidth="1"/>
    <col min="10" max="10" width="13.33203125" style="7" customWidth="1"/>
    <col min="11" max="11" width="13.5546875" style="7" bestFit="1" customWidth="1"/>
    <col min="12" max="12" width="15.88671875" style="7" bestFit="1" customWidth="1"/>
    <col min="13" max="13" width="14.5546875" style="7" bestFit="1" customWidth="1"/>
    <col min="14" max="14" width="14" style="7" customWidth="1"/>
    <col min="15" max="15" width="13.109375" style="7" bestFit="1" customWidth="1"/>
    <col min="16" max="16" width="15.44140625" style="7" bestFit="1" customWidth="1"/>
    <col min="17" max="17" width="15" style="7" customWidth="1"/>
    <col min="18" max="18" width="13.5546875" style="7" bestFit="1" customWidth="1"/>
    <col min="19" max="19" width="12" style="7" bestFit="1" customWidth="1"/>
    <col min="20" max="20" width="10.6640625" style="7" customWidth="1"/>
    <col min="21" max="21" width="13.5546875" style="7" bestFit="1" customWidth="1"/>
    <col min="22" max="22" width="15.33203125" style="7" customWidth="1"/>
    <col min="23" max="16384" width="9.109375" style="7"/>
  </cols>
  <sheetData>
    <row r="1" spans="1:22" s="12" customFormat="1" ht="15" x14ac:dyDescent="0.25">
      <c r="A1" s="394" t="s">
        <v>368</v>
      </c>
      <c r="B1" s="442"/>
      <c r="C1" s="442"/>
      <c r="E1" s="442"/>
      <c r="F1" s="442"/>
      <c r="G1" s="442"/>
      <c r="H1" s="442"/>
      <c r="I1" s="442"/>
      <c r="J1" s="442"/>
      <c r="K1" s="442"/>
      <c r="L1" s="442"/>
      <c r="M1" s="442"/>
      <c r="N1" s="442"/>
      <c r="O1" s="442"/>
      <c r="P1" s="442"/>
      <c r="Q1" s="442"/>
      <c r="R1" s="442"/>
      <c r="S1" s="442"/>
      <c r="T1" s="442"/>
      <c r="U1" s="442"/>
      <c r="V1" s="442"/>
    </row>
    <row r="2" spans="1:22" s="67" customFormat="1" ht="15" x14ac:dyDescent="0.25">
      <c r="A2" s="442"/>
      <c r="B2" s="442"/>
      <c r="C2" s="442"/>
      <c r="D2" s="442"/>
      <c r="E2" s="442"/>
      <c r="F2" s="442"/>
      <c r="G2" s="442"/>
      <c r="H2" s="442"/>
      <c r="I2" s="442"/>
      <c r="J2" s="442"/>
      <c r="K2" s="442"/>
      <c r="L2" s="442"/>
      <c r="M2" s="442"/>
      <c r="N2" s="442"/>
      <c r="O2" s="442"/>
      <c r="P2" s="442"/>
      <c r="Q2" s="442"/>
      <c r="R2" s="442"/>
      <c r="S2" s="442"/>
      <c r="T2" s="442"/>
      <c r="U2" s="442"/>
      <c r="V2" s="442"/>
    </row>
    <row r="3" spans="1:22" s="59" customFormat="1" ht="15" x14ac:dyDescent="0.25">
      <c r="A3" s="394" t="s">
        <v>117</v>
      </c>
      <c r="B3" s="442"/>
      <c r="C3" s="442"/>
      <c r="D3" s="442"/>
      <c r="E3" s="442"/>
      <c r="F3" s="442"/>
      <c r="G3" s="442"/>
      <c r="H3" s="442"/>
      <c r="I3" s="442"/>
      <c r="J3" s="442"/>
      <c r="K3" s="442"/>
      <c r="L3" s="442"/>
      <c r="M3" s="442"/>
      <c r="N3" s="442"/>
      <c r="O3" s="442"/>
      <c r="P3" s="442"/>
      <c r="Q3" s="442"/>
      <c r="R3" s="442"/>
      <c r="S3" s="442"/>
      <c r="T3" s="442"/>
      <c r="U3" s="442"/>
      <c r="V3" s="442"/>
    </row>
    <row r="4" spans="1:22" s="59" customFormat="1" ht="15" x14ac:dyDescent="0.25">
      <c r="A4" s="442"/>
      <c r="B4" s="442"/>
      <c r="C4" s="442"/>
      <c r="D4" s="442"/>
      <c r="E4" s="442" t="s">
        <v>68</v>
      </c>
      <c r="F4" s="442">
        <v>1</v>
      </c>
      <c r="G4" s="442">
        <v>10</v>
      </c>
      <c r="H4" s="442">
        <v>50</v>
      </c>
      <c r="I4" s="442">
        <v>100</v>
      </c>
      <c r="J4" s="442"/>
      <c r="K4" s="442"/>
      <c r="L4" s="442"/>
      <c r="M4" s="442"/>
      <c r="N4" s="442"/>
      <c r="O4" s="442"/>
      <c r="P4" s="442"/>
      <c r="Q4" s="442"/>
      <c r="R4" s="442"/>
      <c r="S4" s="442"/>
      <c r="T4" s="442"/>
      <c r="U4" s="442"/>
      <c r="V4" s="442"/>
    </row>
    <row r="5" spans="1:22" s="59" customFormat="1" ht="15" x14ac:dyDescent="0.25">
      <c r="A5" s="442"/>
      <c r="B5" s="396" t="s">
        <v>78</v>
      </c>
      <c r="C5" s="442"/>
      <c r="D5" s="442" t="s">
        <v>50</v>
      </c>
      <c r="E5" s="442"/>
      <c r="F5" s="406">
        <f>G20</f>
        <v>0</v>
      </c>
      <c r="G5" s="406">
        <f t="shared" ref="G5:I5" si="0">H20</f>
        <v>0</v>
      </c>
      <c r="H5" s="406">
        <f t="shared" si="0"/>
        <v>0</v>
      </c>
      <c r="I5" s="406">
        <f t="shared" si="0"/>
        <v>0</v>
      </c>
      <c r="J5" s="442"/>
      <c r="K5" s="442"/>
      <c r="L5" s="442"/>
      <c r="M5" s="442"/>
      <c r="N5" s="442"/>
      <c r="O5" s="442"/>
      <c r="P5" s="442"/>
      <c r="Q5" s="442"/>
      <c r="R5" s="442"/>
      <c r="S5" s="442"/>
      <c r="T5" s="442"/>
      <c r="U5" s="442"/>
      <c r="V5" s="442"/>
    </row>
    <row r="6" spans="1:22" s="59" customFormat="1" ht="15" x14ac:dyDescent="0.25">
      <c r="A6" s="442"/>
      <c r="B6" s="396" t="s">
        <v>79</v>
      </c>
      <c r="C6" s="442"/>
      <c r="D6" s="442" t="s">
        <v>51</v>
      </c>
      <c r="E6" s="442"/>
      <c r="F6" s="406">
        <f>G27</f>
        <v>170000</v>
      </c>
      <c r="G6" s="406">
        <f t="shared" ref="G6:I6" si="1">H27</f>
        <v>170000</v>
      </c>
      <c r="H6" s="406">
        <f t="shared" si="1"/>
        <v>170000</v>
      </c>
      <c r="I6" s="406">
        <f t="shared" si="1"/>
        <v>170000</v>
      </c>
      <c r="J6" s="442"/>
      <c r="K6" s="442"/>
      <c r="L6" s="442"/>
      <c r="M6" s="442"/>
      <c r="N6" s="442"/>
      <c r="O6" s="442"/>
      <c r="P6" s="442"/>
      <c r="Q6" s="442"/>
      <c r="R6" s="442"/>
      <c r="S6" s="442"/>
      <c r="T6" s="442"/>
      <c r="U6" s="442"/>
      <c r="V6" s="442"/>
    </row>
    <row r="7" spans="1:22" s="59" customFormat="1" ht="15" x14ac:dyDescent="0.25">
      <c r="A7" s="442"/>
      <c r="B7" s="396" t="s">
        <v>80</v>
      </c>
      <c r="C7" s="442"/>
      <c r="D7" s="442" t="s">
        <v>75</v>
      </c>
      <c r="E7" s="442"/>
      <c r="F7" s="406">
        <f>H53</f>
        <v>214915</v>
      </c>
      <c r="G7" s="406">
        <f>J53</f>
        <v>333990</v>
      </c>
      <c r="H7" s="406">
        <f>L53</f>
        <v>867055</v>
      </c>
      <c r="I7" s="406">
        <f>N53</f>
        <v>1603485</v>
      </c>
      <c r="J7" s="442"/>
      <c r="K7" s="442"/>
      <c r="L7" s="442"/>
      <c r="M7" s="442"/>
      <c r="N7" s="442"/>
      <c r="O7" s="442"/>
      <c r="P7" s="442"/>
      <c r="Q7" s="442"/>
      <c r="R7" s="442"/>
      <c r="S7" s="442"/>
      <c r="T7" s="442"/>
      <c r="U7" s="442"/>
      <c r="V7" s="442"/>
    </row>
    <row r="8" spans="1:22" s="59" customFormat="1" ht="15" x14ac:dyDescent="0.25">
      <c r="A8" s="442"/>
      <c r="B8" s="396" t="s">
        <v>81</v>
      </c>
      <c r="C8" s="442"/>
      <c r="D8" s="442" t="s">
        <v>351</v>
      </c>
      <c r="E8" s="442"/>
      <c r="F8" s="406">
        <f>H67</f>
        <v>108960</v>
      </c>
      <c r="G8" s="406">
        <f>J67</f>
        <v>108960</v>
      </c>
      <c r="H8" s="406">
        <f>L67</f>
        <v>196880</v>
      </c>
      <c r="I8" s="406">
        <f>N67</f>
        <v>306780</v>
      </c>
      <c r="J8" s="442"/>
      <c r="K8" s="442"/>
      <c r="L8" s="442"/>
      <c r="M8" s="442"/>
      <c r="N8" s="442"/>
      <c r="O8" s="442"/>
      <c r="P8" s="442"/>
      <c r="Q8" s="442"/>
      <c r="R8" s="442"/>
      <c r="S8" s="442"/>
      <c r="T8" s="442"/>
      <c r="U8" s="442"/>
      <c r="V8" s="442"/>
    </row>
    <row r="9" spans="1:22" s="59" customFormat="1" ht="15" x14ac:dyDescent="0.25">
      <c r="A9" s="442"/>
      <c r="B9" s="396" t="s">
        <v>82</v>
      </c>
      <c r="C9" s="442"/>
      <c r="D9" s="442" t="s">
        <v>52</v>
      </c>
      <c r="E9" s="442"/>
      <c r="F9" s="406">
        <f>G81</f>
        <v>34540</v>
      </c>
      <c r="G9" s="406">
        <f t="shared" ref="G9:I9" si="2">H81</f>
        <v>75400</v>
      </c>
      <c r="H9" s="406">
        <f t="shared" si="2"/>
        <v>257000</v>
      </c>
      <c r="I9" s="406">
        <f t="shared" si="2"/>
        <v>484000</v>
      </c>
      <c r="J9" s="442"/>
      <c r="K9" s="442"/>
      <c r="L9" s="442"/>
      <c r="M9" s="442"/>
      <c r="N9" s="442"/>
      <c r="O9" s="442"/>
      <c r="P9" s="442"/>
      <c r="Q9" s="442"/>
      <c r="R9" s="442"/>
      <c r="S9" s="442"/>
      <c r="T9" s="442"/>
      <c r="U9" s="442"/>
      <c r="V9" s="442"/>
    </row>
    <row r="10" spans="1:22" s="59" customFormat="1" ht="15" x14ac:dyDescent="0.25">
      <c r="A10" s="442"/>
      <c r="B10" s="396" t="s">
        <v>83</v>
      </c>
      <c r="C10" s="442"/>
      <c r="D10" s="442" t="s">
        <v>53</v>
      </c>
      <c r="E10" s="442"/>
      <c r="F10" s="406">
        <f>G92</f>
        <v>1280</v>
      </c>
      <c r="G10" s="406">
        <f t="shared" ref="G10:I10" si="3">H92</f>
        <v>12800</v>
      </c>
      <c r="H10" s="406">
        <f t="shared" si="3"/>
        <v>64000</v>
      </c>
      <c r="I10" s="406">
        <f t="shared" si="3"/>
        <v>128000</v>
      </c>
      <c r="J10" s="442"/>
      <c r="K10" s="442"/>
      <c r="L10" s="442"/>
      <c r="M10" s="442"/>
      <c r="N10" s="442"/>
      <c r="O10" s="442"/>
      <c r="P10" s="442"/>
      <c r="Q10" s="442"/>
      <c r="R10" s="442"/>
      <c r="S10" s="442"/>
      <c r="T10" s="442"/>
      <c r="U10" s="442"/>
      <c r="V10" s="442"/>
    </row>
    <row r="11" spans="1:22" s="59" customFormat="1" ht="15" x14ac:dyDescent="0.25">
      <c r="A11" s="442"/>
      <c r="B11" s="442"/>
      <c r="C11" s="442"/>
      <c r="D11" s="442"/>
      <c r="E11" s="442"/>
      <c r="F11" s="442"/>
      <c r="G11" s="442"/>
      <c r="H11" s="442"/>
      <c r="I11" s="442"/>
      <c r="J11" s="442"/>
      <c r="K11" s="442"/>
      <c r="L11" s="442"/>
      <c r="M11" s="442"/>
      <c r="N11" s="442"/>
      <c r="O11" s="442"/>
      <c r="P11" s="442"/>
      <c r="Q11" s="442"/>
      <c r="R11" s="442"/>
      <c r="S11" s="442"/>
      <c r="T11" s="442"/>
      <c r="U11" s="442"/>
      <c r="V11" s="442"/>
    </row>
    <row r="12" spans="1:22" s="59" customFormat="1" ht="15" x14ac:dyDescent="0.25">
      <c r="A12" s="442"/>
      <c r="B12" s="383" t="s">
        <v>86</v>
      </c>
      <c r="C12" s="383"/>
      <c r="D12" s="383"/>
      <c r="E12" s="383"/>
      <c r="F12" s="387">
        <f>SUM(F5:F10)</f>
        <v>529695</v>
      </c>
      <c r="G12" s="387">
        <f t="shared" ref="G12:I12" si="4">SUM(G5:G10)</f>
        <v>701150</v>
      </c>
      <c r="H12" s="387">
        <f t="shared" si="4"/>
        <v>1554935</v>
      </c>
      <c r="I12" s="387">
        <f t="shared" si="4"/>
        <v>2692265</v>
      </c>
      <c r="J12" s="403"/>
      <c r="K12" s="403"/>
      <c r="L12" s="403"/>
      <c r="M12" s="403"/>
      <c r="N12" s="403"/>
      <c r="O12" s="403"/>
      <c r="P12" s="442"/>
      <c r="Q12" s="442"/>
      <c r="R12" s="442"/>
      <c r="S12" s="442"/>
      <c r="T12" s="442"/>
      <c r="U12" s="442"/>
      <c r="V12" s="442"/>
    </row>
    <row r="13" spans="1:22" s="12" customFormat="1" ht="15" x14ac:dyDescent="0.25">
      <c r="A13" s="442"/>
      <c r="B13" s="442"/>
      <c r="C13" s="442"/>
      <c r="D13" s="442"/>
      <c r="E13" s="442"/>
      <c r="F13" s="442"/>
      <c r="G13" s="384"/>
      <c r="H13" s="384"/>
      <c r="I13" s="384"/>
      <c r="J13" s="440"/>
      <c r="K13" s="403"/>
      <c r="L13" s="403"/>
      <c r="M13" s="403"/>
      <c r="N13" s="403"/>
      <c r="O13" s="403"/>
      <c r="P13" s="442"/>
      <c r="Q13" s="442"/>
      <c r="R13" s="442"/>
      <c r="S13" s="442"/>
      <c r="T13" s="442"/>
      <c r="U13" s="442"/>
      <c r="V13" s="442"/>
    </row>
    <row r="14" spans="1:22" s="533" customFormat="1" ht="15" x14ac:dyDescent="0.25">
      <c r="A14" s="500"/>
      <c r="B14" s="500"/>
      <c r="C14" s="500"/>
      <c r="D14" s="500"/>
      <c r="E14" s="500"/>
      <c r="F14" s="500"/>
      <c r="G14" s="384"/>
      <c r="H14" s="384"/>
      <c r="I14" s="384"/>
      <c r="J14" s="440"/>
      <c r="K14" s="403"/>
      <c r="L14" s="403"/>
      <c r="M14" s="403"/>
      <c r="N14" s="403"/>
      <c r="O14" s="403"/>
      <c r="P14" s="500"/>
      <c r="Q14" s="500"/>
      <c r="R14" s="500"/>
      <c r="S14" s="500"/>
      <c r="T14" s="500"/>
      <c r="U14" s="500"/>
      <c r="V14" s="500"/>
    </row>
    <row r="15" spans="1:22" s="12" customFormat="1" ht="15" x14ac:dyDescent="0.25">
      <c r="A15" s="394" t="s">
        <v>78</v>
      </c>
      <c r="B15" s="394" t="s">
        <v>97</v>
      </c>
      <c r="C15" s="442"/>
      <c r="D15" s="442"/>
      <c r="E15" s="442"/>
      <c r="G15" s="391" t="s">
        <v>91</v>
      </c>
      <c r="H15" s="405" t="s">
        <v>114</v>
      </c>
      <c r="I15" s="405" t="s">
        <v>116</v>
      </c>
      <c r="J15" s="405" t="s">
        <v>115</v>
      </c>
      <c r="K15" s="403"/>
      <c r="L15" s="403"/>
      <c r="M15" s="403"/>
      <c r="N15" s="403"/>
      <c r="O15" s="403"/>
      <c r="P15" s="442"/>
      <c r="Q15" s="442"/>
      <c r="R15" s="442"/>
      <c r="S15" s="442"/>
      <c r="T15" s="442"/>
      <c r="U15" s="442"/>
      <c r="V15" s="442"/>
    </row>
    <row r="16" spans="1:22" s="533" customFormat="1" ht="15" x14ac:dyDescent="0.25">
      <c r="A16" s="394"/>
      <c r="B16" s="394"/>
      <c r="C16" s="500"/>
      <c r="D16" s="500"/>
      <c r="E16" s="500"/>
      <c r="G16" s="391"/>
      <c r="H16" s="405"/>
      <c r="I16" s="405"/>
      <c r="J16" s="405"/>
      <c r="K16" s="403"/>
      <c r="L16" s="403"/>
      <c r="M16" s="403"/>
      <c r="N16" s="403"/>
      <c r="O16" s="403"/>
      <c r="P16" s="500"/>
      <c r="Q16" s="500"/>
      <c r="R16" s="500"/>
      <c r="S16" s="500"/>
      <c r="T16" s="500"/>
      <c r="U16" s="500"/>
      <c r="V16" s="500"/>
    </row>
    <row r="17" spans="1:22" s="12" customFormat="1" ht="15" x14ac:dyDescent="0.25">
      <c r="A17" s="442"/>
      <c r="B17" s="500" t="s">
        <v>379</v>
      </c>
      <c r="C17" s="500"/>
      <c r="E17" s="500"/>
      <c r="F17" s="412"/>
      <c r="G17" s="406"/>
      <c r="H17" s="406"/>
      <c r="I17" s="406"/>
      <c r="J17" s="406"/>
      <c r="K17" s="403"/>
      <c r="L17" s="403"/>
      <c r="M17" s="403"/>
      <c r="N17" s="403"/>
      <c r="O17" s="403"/>
      <c r="P17" s="442"/>
      <c r="Q17" s="442"/>
      <c r="R17" s="442"/>
      <c r="S17" s="442"/>
      <c r="T17" s="442"/>
      <c r="U17" s="442"/>
      <c r="V17" s="442"/>
    </row>
    <row r="18" spans="1:22" s="72" customFormat="1" ht="15" x14ac:dyDescent="0.25">
      <c r="A18" s="442"/>
      <c r="B18" s="381" t="s">
        <v>12</v>
      </c>
      <c r="C18" s="500"/>
      <c r="E18" s="500"/>
      <c r="F18" s="412"/>
      <c r="G18" s="406"/>
      <c r="H18" s="406"/>
      <c r="I18" s="406"/>
      <c r="J18" s="406"/>
      <c r="K18" s="403"/>
      <c r="L18" s="403"/>
      <c r="M18" s="403"/>
      <c r="N18" s="403"/>
      <c r="O18" s="403"/>
      <c r="P18" s="442"/>
      <c r="Q18" s="442"/>
      <c r="R18" s="442"/>
      <c r="S18" s="442"/>
      <c r="T18" s="442"/>
      <c r="U18" s="442"/>
      <c r="V18" s="442"/>
    </row>
    <row r="19" spans="1:22" s="72" customFormat="1" ht="15" x14ac:dyDescent="0.25">
      <c r="A19" s="442"/>
      <c r="B19" s="442"/>
      <c r="C19" s="500"/>
      <c r="D19" s="500"/>
      <c r="E19" s="500"/>
      <c r="F19" s="500"/>
      <c r="G19" s="500"/>
      <c r="H19" s="500"/>
      <c r="I19" s="500"/>
      <c r="J19" s="500"/>
      <c r="K19" s="403"/>
      <c r="L19" s="403"/>
      <c r="M19" s="403"/>
      <c r="N19" s="403"/>
      <c r="O19" s="403"/>
      <c r="P19" s="442"/>
      <c r="Q19" s="442"/>
      <c r="R19" s="442"/>
      <c r="S19" s="442"/>
      <c r="T19" s="442"/>
      <c r="U19" s="442"/>
      <c r="V19" s="442"/>
    </row>
    <row r="20" spans="1:22" s="72" customFormat="1" ht="15" x14ac:dyDescent="0.25">
      <c r="A20" s="442"/>
      <c r="B20" s="383" t="s">
        <v>86</v>
      </c>
      <c r="C20" s="351"/>
      <c r="D20" s="383"/>
      <c r="E20" s="383"/>
      <c r="F20" s="383"/>
      <c r="G20" s="387">
        <f>SUM(G17:G18)</f>
        <v>0</v>
      </c>
      <c r="H20" s="387">
        <f t="shared" ref="H20:J20" si="5">SUM(H17:H18)</f>
        <v>0</v>
      </c>
      <c r="I20" s="387">
        <f t="shared" si="5"/>
        <v>0</v>
      </c>
      <c r="J20" s="387">
        <f t="shared" si="5"/>
        <v>0</v>
      </c>
      <c r="K20" s="403"/>
      <c r="L20" s="403"/>
      <c r="M20" s="403"/>
      <c r="N20" s="403"/>
      <c r="O20" s="403"/>
      <c r="P20" s="442"/>
      <c r="Q20" s="442"/>
      <c r="R20" s="442"/>
      <c r="S20" s="442"/>
      <c r="T20" s="442"/>
      <c r="U20" s="442"/>
      <c r="V20" s="442"/>
    </row>
    <row r="21" spans="1:22" s="72" customFormat="1" ht="15" x14ac:dyDescent="0.25">
      <c r="A21" s="442"/>
      <c r="B21" s="442"/>
      <c r="C21" s="442"/>
      <c r="D21" s="442"/>
      <c r="E21" s="398"/>
      <c r="F21" s="442"/>
      <c r="G21" s="384"/>
      <c r="H21" s="384"/>
      <c r="I21" s="384"/>
      <c r="J21" s="440"/>
      <c r="K21" s="389"/>
      <c r="L21" s="389"/>
      <c r="M21" s="389"/>
      <c r="N21" s="389"/>
      <c r="O21" s="403"/>
      <c r="P21" s="442"/>
      <c r="Q21" s="442"/>
      <c r="R21" s="442"/>
      <c r="S21" s="442"/>
      <c r="T21" s="442"/>
      <c r="U21" s="442"/>
      <c r="V21" s="442"/>
    </row>
    <row r="22" spans="1:22" s="12" customFormat="1" ht="15" x14ac:dyDescent="0.25">
      <c r="A22" s="442"/>
      <c r="B22" s="442"/>
      <c r="C22" s="442"/>
      <c r="D22" s="442"/>
      <c r="E22" s="528"/>
      <c r="F22" s="528"/>
      <c r="G22" s="527"/>
      <c r="H22" s="527"/>
      <c r="I22" s="527"/>
      <c r="J22" s="527"/>
      <c r="K22" s="528"/>
      <c r="L22" s="528"/>
      <c r="M22" s="528"/>
      <c r="N22" s="528"/>
      <c r="O22" s="528"/>
      <c r="P22" s="528"/>
      <c r="Q22" s="528"/>
      <c r="R22" s="528"/>
      <c r="S22" s="528"/>
      <c r="T22" s="528"/>
      <c r="U22" s="528"/>
      <c r="V22" s="528"/>
    </row>
    <row r="23" spans="1:22" s="12" customFormat="1" ht="15" x14ac:dyDescent="0.25">
      <c r="A23" s="532" t="s">
        <v>79</v>
      </c>
      <c r="B23" s="394" t="s">
        <v>353</v>
      </c>
      <c r="C23" s="442"/>
      <c r="D23" s="442"/>
      <c r="E23" s="528"/>
      <c r="F23" s="528"/>
      <c r="G23" s="391" t="s">
        <v>91</v>
      </c>
      <c r="H23" s="405" t="s">
        <v>114</v>
      </c>
      <c r="I23" s="405" t="s">
        <v>116</v>
      </c>
      <c r="J23" s="405" t="s">
        <v>115</v>
      </c>
      <c r="K23" s="526"/>
      <c r="L23" s="526"/>
      <c r="M23" s="526"/>
      <c r="N23" s="526"/>
      <c r="O23" s="526"/>
      <c r="P23" s="526"/>
      <c r="Q23" s="509"/>
      <c r="R23" s="509"/>
      <c r="S23" s="526"/>
      <c r="T23" s="526"/>
      <c r="U23" s="526"/>
      <c r="V23" s="528"/>
    </row>
    <row r="24" spans="1:22" s="533" customFormat="1" ht="15" x14ac:dyDescent="0.25">
      <c r="A24" s="532"/>
      <c r="B24" s="394"/>
      <c r="C24" s="500"/>
      <c r="D24" s="500"/>
      <c r="E24" s="528"/>
      <c r="F24" s="528"/>
      <c r="G24" s="391"/>
      <c r="H24" s="405"/>
      <c r="I24" s="405"/>
      <c r="J24" s="405"/>
      <c r="K24" s="526"/>
      <c r="L24" s="526"/>
      <c r="M24" s="526"/>
      <c r="N24" s="526"/>
      <c r="O24" s="526"/>
      <c r="P24" s="526"/>
      <c r="Q24" s="509"/>
      <c r="R24" s="509"/>
      <c r="S24" s="526"/>
      <c r="T24" s="526"/>
      <c r="U24" s="526"/>
      <c r="V24" s="528"/>
    </row>
    <row r="25" spans="1:22" s="533" customFormat="1" ht="15" x14ac:dyDescent="0.25">
      <c r="A25" s="532"/>
      <c r="B25" s="500" t="s">
        <v>376</v>
      </c>
      <c r="C25" s="500"/>
      <c r="E25" s="528"/>
      <c r="F25" s="528"/>
      <c r="G25" s="600">
        <v>170000</v>
      </c>
      <c r="H25" s="600">
        <v>170000</v>
      </c>
      <c r="I25" s="600">
        <v>170000</v>
      </c>
      <c r="J25" s="600">
        <v>170000</v>
      </c>
      <c r="K25" s="526"/>
      <c r="L25" s="526"/>
      <c r="M25" s="526"/>
      <c r="N25" s="526"/>
      <c r="O25" s="526"/>
      <c r="P25" s="526"/>
      <c r="Q25" s="509"/>
      <c r="R25" s="509"/>
      <c r="S25" s="526"/>
      <c r="T25" s="526"/>
      <c r="U25" s="526"/>
      <c r="V25" s="528"/>
    </row>
    <row r="26" spans="1:22" s="533" customFormat="1" ht="15" x14ac:dyDescent="0.25">
      <c r="A26" s="532"/>
      <c r="B26" s="394"/>
      <c r="C26" s="500"/>
      <c r="D26" s="500"/>
      <c r="E26" s="500"/>
      <c r="F26" s="500"/>
      <c r="G26" s="500"/>
      <c r="H26" s="500"/>
      <c r="I26" s="500"/>
      <c r="J26" s="500"/>
      <c r="K26" s="526"/>
      <c r="L26" s="526"/>
      <c r="M26" s="526"/>
      <c r="N26" s="526"/>
      <c r="O26" s="526"/>
      <c r="P26" s="526"/>
      <c r="Q26" s="509"/>
      <c r="R26" s="509"/>
      <c r="S26" s="526"/>
      <c r="T26" s="526"/>
      <c r="U26" s="526"/>
      <c r="V26" s="528"/>
    </row>
    <row r="27" spans="1:22" s="12" customFormat="1" ht="15" x14ac:dyDescent="0.25">
      <c r="A27" s="442"/>
      <c r="B27" s="383" t="s">
        <v>86</v>
      </c>
      <c r="C27" s="351"/>
      <c r="D27" s="383"/>
      <c r="E27" s="383"/>
      <c r="F27" s="383"/>
      <c r="G27" s="387">
        <f>SUM(G25:G25)</f>
        <v>170000</v>
      </c>
      <c r="H27" s="387">
        <f>SUM(H25:H25)</f>
        <v>170000</v>
      </c>
      <c r="I27" s="387">
        <f>SUM(I25:I25)</f>
        <v>170000</v>
      </c>
      <c r="J27" s="387">
        <f>SUM(J25:J25)</f>
        <v>170000</v>
      </c>
      <c r="K27" s="526"/>
      <c r="L27" s="526"/>
      <c r="M27" s="526"/>
      <c r="N27" s="526"/>
      <c r="O27" s="526"/>
      <c r="P27" s="526"/>
      <c r="Q27" s="509"/>
      <c r="R27" s="525"/>
      <c r="S27" s="524"/>
      <c r="T27" s="526"/>
      <c r="U27" s="526"/>
      <c r="V27" s="528"/>
    </row>
    <row r="28" spans="1:22" ht="15" x14ac:dyDescent="0.25">
      <c r="A28" s="442"/>
      <c r="B28" s="403"/>
      <c r="C28" s="403"/>
      <c r="D28" s="403"/>
      <c r="E28" s="403"/>
      <c r="F28" s="403"/>
      <c r="G28" s="403"/>
      <c r="H28" s="403"/>
      <c r="I28" s="403"/>
      <c r="J28" s="403"/>
      <c r="K28" s="439"/>
      <c r="L28" s="403"/>
      <c r="M28" s="403"/>
      <c r="N28" s="403"/>
      <c r="O28" s="403"/>
      <c r="P28" s="403"/>
      <c r="Q28" s="403"/>
      <c r="R28" s="403"/>
      <c r="S28" s="403"/>
      <c r="T28" s="403"/>
      <c r="U28" s="403"/>
      <c r="V28" s="442"/>
    </row>
    <row r="29" spans="1:22" s="380" customFormat="1" ht="15" x14ac:dyDescent="0.25">
      <c r="A29" s="442"/>
      <c r="B29" s="403"/>
      <c r="C29" s="403"/>
      <c r="D29" s="403"/>
      <c r="E29" s="403"/>
      <c r="F29" s="403"/>
      <c r="G29" s="403"/>
      <c r="H29" s="403"/>
      <c r="I29" s="403"/>
      <c r="J29" s="403"/>
      <c r="K29" s="439"/>
      <c r="L29" s="403"/>
      <c r="M29" s="403"/>
      <c r="N29" s="403"/>
      <c r="O29" s="403"/>
      <c r="P29" s="403"/>
      <c r="Q29" s="403"/>
      <c r="R29" s="403"/>
      <c r="S29" s="403"/>
      <c r="T29" s="403"/>
      <c r="U29" s="403"/>
      <c r="V29" s="442"/>
    </row>
    <row r="30" spans="1:22" s="379" customFormat="1" ht="15" x14ac:dyDescent="0.25">
      <c r="A30" s="532" t="s">
        <v>80</v>
      </c>
      <c r="B30" s="394" t="s">
        <v>352</v>
      </c>
      <c r="C30" s="442"/>
      <c r="D30" s="442"/>
      <c r="E30" s="404"/>
      <c r="F30" s="404"/>
      <c r="G30" s="391"/>
      <c r="H30" s="405"/>
      <c r="I30" s="405"/>
      <c r="J30" s="405"/>
      <c r="K30" s="526"/>
      <c r="L30" s="404"/>
      <c r="M30" s="599"/>
      <c r="N30" s="442"/>
      <c r="O30" s="442"/>
      <c r="P30" s="442"/>
      <c r="Q30" s="442"/>
      <c r="R30" s="442"/>
      <c r="S30" s="442"/>
      <c r="T30" s="442"/>
      <c r="U30" s="442"/>
      <c r="V30" s="442"/>
    </row>
    <row r="31" spans="1:22" s="533" customFormat="1" ht="15" x14ac:dyDescent="0.25">
      <c r="A31" s="532"/>
      <c r="B31" s="394"/>
      <c r="C31" s="500"/>
      <c r="D31" s="500"/>
      <c r="E31" s="404"/>
      <c r="F31" s="404"/>
      <c r="G31" s="391"/>
      <c r="H31" s="405"/>
      <c r="I31" s="405"/>
      <c r="J31" s="405"/>
      <c r="K31" s="526"/>
      <c r="L31" s="404"/>
      <c r="M31" s="599"/>
      <c r="N31" s="500"/>
      <c r="O31" s="500"/>
      <c r="P31" s="500"/>
      <c r="Q31" s="500"/>
      <c r="R31" s="500"/>
      <c r="S31" s="500"/>
      <c r="T31" s="500"/>
      <c r="U31" s="500"/>
      <c r="V31" s="500"/>
    </row>
    <row r="32" spans="1:22" s="533" customFormat="1" ht="15" x14ac:dyDescent="0.25">
      <c r="A32" s="532"/>
      <c r="B32" s="500" t="s">
        <v>380</v>
      </c>
      <c r="C32" s="500"/>
      <c r="D32" s="500"/>
      <c r="E32" s="404"/>
      <c r="F32" s="404"/>
      <c r="G32" s="391"/>
      <c r="H32" s="405"/>
      <c r="I32" s="405"/>
      <c r="J32" s="405"/>
      <c r="K32" s="526"/>
      <c r="L32" s="404"/>
      <c r="M32" s="599"/>
      <c r="N32" s="500"/>
      <c r="O32" s="500"/>
      <c r="P32" s="500"/>
      <c r="Q32" s="500"/>
      <c r="R32" s="500"/>
      <c r="S32" s="500"/>
      <c r="T32" s="500"/>
      <c r="U32" s="500"/>
      <c r="V32" s="500"/>
    </row>
    <row r="33" spans="1:22" s="533" customFormat="1" ht="15" x14ac:dyDescent="0.25">
      <c r="A33" s="532"/>
      <c r="B33" s="394"/>
      <c r="C33" s="500" t="s">
        <v>381</v>
      </c>
      <c r="D33" s="500"/>
      <c r="E33" s="404"/>
      <c r="F33" s="404"/>
      <c r="G33" s="391"/>
      <c r="H33" s="405"/>
      <c r="I33" s="405"/>
      <c r="J33" s="405"/>
      <c r="K33" s="526"/>
      <c r="L33" s="404"/>
      <c r="M33" s="599"/>
      <c r="N33" s="500"/>
      <c r="O33" s="500"/>
      <c r="P33" s="500"/>
      <c r="Q33" s="500"/>
      <c r="R33" s="500"/>
      <c r="S33" s="500"/>
      <c r="T33" s="500"/>
      <c r="U33" s="500"/>
      <c r="V33" s="500"/>
    </row>
    <row r="34" spans="1:22" s="533" customFormat="1" ht="15" x14ac:dyDescent="0.25">
      <c r="A34" s="532"/>
      <c r="B34" s="394"/>
      <c r="C34" s="500" t="s">
        <v>384</v>
      </c>
      <c r="D34" s="500"/>
      <c r="E34" s="404"/>
      <c r="F34" s="404"/>
      <c r="G34" s="391"/>
      <c r="H34" s="405"/>
      <c r="I34" s="405"/>
      <c r="J34" s="405"/>
      <c r="K34" s="526"/>
      <c r="L34" s="404"/>
      <c r="M34" s="599"/>
      <c r="N34" s="500"/>
      <c r="O34" s="500"/>
      <c r="P34" s="500"/>
      <c r="Q34" s="500"/>
      <c r="R34" s="500"/>
      <c r="S34" s="500"/>
      <c r="T34" s="500"/>
      <c r="U34" s="500"/>
      <c r="V34" s="500"/>
    </row>
    <row r="35" spans="1:22" s="533" customFormat="1" ht="15" x14ac:dyDescent="0.25">
      <c r="A35" s="532"/>
      <c r="B35" s="394"/>
      <c r="C35" s="500" t="s">
        <v>385</v>
      </c>
      <c r="D35" s="500"/>
      <c r="E35" s="404"/>
      <c r="F35" s="404"/>
      <c r="G35" s="391"/>
      <c r="H35" s="405"/>
      <c r="I35" s="405"/>
      <c r="J35" s="405"/>
      <c r="K35" s="526"/>
      <c r="L35" s="404"/>
      <c r="M35" s="599"/>
      <c r="N35" s="500"/>
      <c r="O35" s="500"/>
      <c r="P35" s="500"/>
      <c r="Q35" s="500"/>
      <c r="R35" s="500"/>
      <c r="S35" s="500"/>
      <c r="T35" s="500"/>
      <c r="U35" s="500"/>
      <c r="V35" s="500"/>
    </row>
    <row r="36" spans="1:22" s="533" customFormat="1" ht="15" x14ac:dyDescent="0.25">
      <c r="A36" s="532"/>
      <c r="B36" s="394"/>
      <c r="C36" s="500" t="s">
        <v>382</v>
      </c>
      <c r="D36" s="500"/>
      <c r="E36" s="404"/>
      <c r="F36" s="404"/>
      <c r="G36" s="391"/>
      <c r="H36" s="405"/>
      <c r="I36" s="405"/>
      <c r="J36" s="405"/>
      <c r="K36" s="526"/>
      <c r="L36" s="404"/>
      <c r="M36" s="599"/>
      <c r="N36" s="500"/>
      <c r="O36" s="500"/>
      <c r="P36" s="500"/>
      <c r="Q36" s="500"/>
      <c r="R36" s="500"/>
      <c r="S36" s="500"/>
      <c r="T36" s="500"/>
      <c r="U36" s="500"/>
      <c r="V36" s="500"/>
    </row>
    <row r="37" spans="1:22" s="533" customFormat="1" ht="15" x14ac:dyDescent="0.25">
      <c r="A37" s="532"/>
      <c r="B37" s="394"/>
      <c r="C37" s="500" t="s">
        <v>383</v>
      </c>
      <c r="D37" s="500"/>
      <c r="E37" s="404"/>
      <c r="F37" s="404"/>
      <c r="G37" s="391"/>
      <c r="H37" s="405"/>
      <c r="I37" s="405"/>
      <c r="J37" s="405"/>
      <c r="K37" s="526"/>
      <c r="L37" s="404"/>
      <c r="M37" s="599"/>
      <c r="N37" s="500"/>
      <c r="O37" s="500"/>
      <c r="P37" s="500"/>
      <c r="Q37" s="500"/>
      <c r="R37" s="500"/>
      <c r="S37" s="500"/>
      <c r="T37" s="500"/>
      <c r="U37" s="500"/>
      <c r="V37" s="500"/>
    </row>
    <row r="38" spans="1:22" s="533" customFormat="1" ht="15" x14ac:dyDescent="0.25">
      <c r="A38" s="532"/>
      <c r="B38" s="394"/>
      <c r="C38" s="500"/>
      <c r="D38" s="500"/>
      <c r="E38" s="404"/>
      <c r="F38" s="404"/>
      <c r="G38" s="391"/>
      <c r="H38" s="405"/>
      <c r="I38" s="405"/>
      <c r="J38" s="405"/>
      <c r="K38" s="526"/>
      <c r="L38" s="404"/>
      <c r="M38" s="599"/>
      <c r="N38" s="500"/>
      <c r="O38" s="500"/>
      <c r="P38" s="500"/>
      <c r="Q38" s="500"/>
      <c r="R38" s="500"/>
      <c r="S38" s="500"/>
      <c r="T38" s="500"/>
      <c r="U38" s="500"/>
      <c r="V38" s="500"/>
    </row>
    <row r="39" spans="1:22" s="533" customFormat="1" ht="15" x14ac:dyDescent="0.25">
      <c r="A39" s="532"/>
      <c r="B39" s="500" t="s">
        <v>386</v>
      </c>
      <c r="C39" s="500"/>
      <c r="D39" s="500"/>
      <c r="E39" s="404"/>
      <c r="F39" s="404"/>
      <c r="G39" s="391"/>
      <c r="H39" s="405"/>
      <c r="I39" s="405"/>
      <c r="J39" s="405"/>
      <c r="K39" s="526"/>
      <c r="L39" s="404"/>
      <c r="M39" s="599"/>
      <c r="N39" s="500"/>
      <c r="O39" s="500"/>
      <c r="P39" s="500"/>
      <c r="Q39" s="500"/>
      <c r="R39" s="500"/>
      <c r="S39" s="500"/>
      <c r="T39" s="500"/>
      <c r="U39" s="500"/>
      <c r="V39" s="500"/>
    </row>
    <row r="40" spans="1:22" s="533" customFormat="1" ht="15" x14ac:dyDescent="0.25">
      <c r="A40" s="532"/>
      <c r="B40" s="394"/>
      <c r="C40" s="500" t="s">
        <v>387</v>
      </c>
      <c r="D40" s="500"/>
      <c r="E40" s="602">
        <v>11875</v>
      </c>
      <c r="F40" s="404"/>
      <c r="G40" s="391"/>
      <c r="H40" s="405"/>
      <c r="I40" s="405"/>
      <c r="J40" s="405"/>
      <c r="K40" s="526"/>
      <c r="L40" s="404"/>
      <c r="M40" s="599"/>
      <c r="N40" s="500"/>
      <c r="O40" s="500"/>
      <c r="P40" s="500"/>
      <c r="Q40" s="500"/>
      <c r="R40" s="500"/>
      <c r="S40" s="500"/>
      <c r="T40" s="500"/>
      <c r="U40" s="500"/>
      <c r="V40" s="500"/>
    </row>
    <row r="41" spans="1:22" s="533" customFormat="1" ht="15" x14ac:dyDescent="0.25">
      <c r="A41" s="532"/>
      <c r="B41" s="394"/>
      <c r="C41" s="500" t="s">
        <v>388</v>
      </c>
      <c r="D41" s="500"/>
      <c r="E41" s="602">
        <v>30275</v>
      </c>
      <c r="F41" s="404"/>
      <c r="G41" s="391"/>
      <c r="H41" s="405"/>
      <c r="I41" s="405"/>
      <c r="J41" s="405"/>
      <c r="K41" s="526"/>
      <c r="L41" s="404"/>
      <c r="M41" s="599"/>
      <c r="N41" s="500"/>
      <c r="O41" s="500"/>
      <c r="P41" s="500"/>
      <c r="Q41" s="500"/>
      <c r="R41" s="500"/>
      <c r="S41" s="500"/>
      <c r="T41" s="500"/>
      <c r="U41" s="500"/>
      <c r="V41" s="500"/>
    </row>
    <row r="42" spans="1:22" s="533" customFormat="1" ht="15" x14ac:dyDescent="0.25">
      <c r="A42" s="532"/>
      <c r="B42" s="394"/>
      <c r="C42" s="500" t="s">
        <v>389</v>
      </c>
      <c r="D42" s="500"/>
      <c r="E42" s="602">
        <v>22525</v>
      </c>
      <c r="F42" s="404"/>
      <c r="G42" s="391"/>
      <c r="H42" s="405"/>
      <c r="I42" s="405"/>
      <c r="J42" s="405"/>
      <c r="K42" s="526"/>
      <c r="L42" s="404"/>
      <c r="M42" s="599"/>
      <c r="N42" s="500"/>
      <c r="O42" s="500"/>
      <c r="P42" s="500"/>
      <c r="Q42" s="500"/>
      <c r="R42" s="500"/>
      <c r="S42" s="500"/>
      <c r="T42" s="500"/>
      <c r="U42" s="500"/>
      <c r="V42" s="500"/>
    </row>
    <row r="43" spans="1:22" s="533" customFormat="1" ht="15" x14ac:dyDescent="0.25">
      <c r="A43" s="532"/>
      <c r="B43" s="394"/>
      <c r="C43" s="500" t="s">
        <v>390</v>
      </c>
      <c r="D43" s="500"/>
      <c r="E43" s="602">
        <v>21100</v>
      </c>
      <c r="F43" s="404"/>
      <c r="G43" s="391"/>
      <c r="H43" s="405"/>
      <c r="I43" s="405"/>
      <c r="J43" s="405"/>
      <c r="K43" s="526"/>
      <c r="L43" s="404"/>
      <c r="M43" s="599"/>
      <c r="N43" s="500"/>
      <c r="O43" s="500"/>
      <c r="P43" s="500"/>
      <c r="Q43" s="500"/>
      <c r="R43" s="500"/>
      <c r="S43" s="500"/>
      <c r="T43" s="500"/>
      <c r="U43" s="500"/>
      <c r="V43" s="500"/>
    </row>
    <row r="44" spans="1:22" s="533" customFormat="1" ht="15" x14ac:dyDescent="0.25">
      <c r="A44" s="532"/>
      <c r="B44" s="394"/>
      <c r="C44" s="500" t="s">
        <v>391</v>
      </c>
      <c r="D44" s="500"/>
      <c r="E44" s="602">
        <v>8800</v>
      </c>
      <c r="F44" s="404"/>
      <c r="G44" s="391"/>
      <c r="H44" s="405"/>
      <c r="I44" s="405"/>
      <c r="J44" s="405"/>
      <c r="K44" s="526"/>
      <c r="L44" s="404"/>
      <c r="M44" s="599"/>
      <c r="N44" s="500"/>
      <c r="O44" s="500"/>
      <c r="P44" s="500"/>
      <c r="Q44" s="500"/>
      <c r="R44" s="500"/>
      <c r="S44" s="500"/>
      <c r="T44" s="500"/>
      <c r="U44" s="500"/>
      <c r="V44" s="500"/>
    </row>
    <row r="45" spans="1:22" s="533" customFormat="1" ht="15" x14ac:dyDescent="0.25">
      <c r="A45" s="532"/>
      <c r="B45" s="394"/>
      <c r="C45" s="500"/>
      <c r="D45" s="500"/>
      <c r="E45" s="602"/>
      <c r="G45" s="532">
        <v>1</v>
      </c>
      <c r="H45" s="609" t="s">
        <v>400</v>
      </c>
      <c r="I45" s="610">
        <v>10</v>
      </c>
      <c r="J45" s="611" t="s">
        <v>68</v>
      </c>
      <c r="K45" s="610">
        <v>50</v>
      </c>
      <c r="L45" s="612" t="s">
        <v>68</v>
      </c>
      <c r="M45" s="610">
        <v>100</v>
      </c>
      <c r="N45" s="612" t="s">
        <v>68</v>
      </c>
      <c r="O45" s="500"/>
      <c r="P45" s="500"/>
      <c r="Q45" s="500"/>
      <c r="R45" s="500"/>
      <c r="S45" s="500"/>
    </row>
    <row r="46" spans="1:22" s="533" customFormat="1" ht="15" x14ac:dyDescent="0.25">
      <c r="A46" s="532"/>
      <c r="B46" s="500" t="s">
        <v>392</v>
      </c>
      <c r="C46" s="500"/>
      <c r="D46" s="500"/>
      <c r="E46" s="602"/>
      <c r="F46" s="604" t="s">
        <v>398</v>
      </c>
      <c r="G46" s="396" t="s">
        <v>399</v>
      </c>
      <c r="H46" s="605" t="s">
        <v>84</v>
      </c>
      <c r="I46" s="396" t="s">
        <v>399</v>
      </c>
      <c r="J46" s="605" t="s">
        <v>84</v>
      </c>
      <c r="K46" s="396" t="s">
        <v>399</v>
      </c>
      <c r="L46" s="605" t="s">
        <v>84</v>
      </c>
      <c r="M46" s="396" t="s">
        <v>399</v>
      </c>
      <c r="N46" s="605" t="s">
        <v>84</v>
      </c>
      <c r="O46" s="500"/>
      <c r="P46" s="500"/>
      <c r="Q46" s="500"/>
      <c r="R46" s="500"/>
      <c r="S46" s="500"/>
    </row>
    <row r="47" spans="1:22" s="533" customFormat="1" ht="15" x14ac:dyDescent="0.25">
      <c r="A47" s="532"/>
      <c r="B47" s="500"/>
      <c r="C47" s="494">
        <v>1</v>
      </c>
      <c r="D47" s="603" t="s">
        <v>393</v>
      </c>
      <c r="E47" s="602"/>
      <c r="F47" s="606">
        <f>E40</f>
        <v>11875</v>
      </c>
      <c r="G47" s="391">
        <v>7</v>
      </c>
      <c r="H47" s="600">
        <f>F47*G47</f>
        <v>83125</v>
      </c>
      <c r="I47" s="608">
        <v>7</v>
      </c>
      <c r="J47" s="322">
        <f>I47*F47</f>
        <v>83125</v>
      </c>
      <c r="K47" s="613">
        <v>7</v>
      </c>
      <c r="L47" s="601">
        <f>K47*F47</f>
        <v>83125</v>
      </c>
      <c r="M47" s="500">
        <v>7</v>
      </c>
      <c r="N47" s="601">
        <f>M47*F47</f>
        <v>83125</v>
      </c>
      <c r="O47" s="500"/>
      <c r="P47" s="500"/>
      <c r="Q47" s="500"/>
      <c r="R47" s="500"/>
      <c r="S47" s="500"/>
    </row>
    <row r="48" spans="1:22" s="533" customFormat="1" ht="15" x14ac:dyDescent="0.25">
      <c r="A48" s="532"/>
      <c r="B48" s="500"/>
      <c r="C48" s="494">
        <v>2</v>
      </c>
      <c r="D48" s="603" t="s">
        <v>394</v>
      </c>
      <c r="E48" s="602"/>
      <c r="F48" s="606">
        <f>E41</f>
        <v>30275</v>
      </c>
      <c r="G48" s="391">
        <v>2</v>
      </c>
      <c r="H48" s="600">
        <f t="shared" ref="H48:H51" si="6">F48*G48</f>
        <v>60550</v>
      </c>
      <c r="I48" s="608">
        <v>3</v>
      </c>
      <c r="J48" s="322">
        <f t="shared" ref="J48:J51" si="7">I48*F48</f>
        <v>90825</v>
      </c>
      <c r="K48" s="613">
        <v>6</v>
      </c>
      <c r="L48" s="601">
        <f t="shared" ref="L48:L51" si="8">K48*F48</f>
        <v>181650</v>
      </c>
      <c r="M48" s="500">
        <v>12</v>
      </c>
      <c r="N48" s="601">
        <f t="shared" ref="N48:N51" si="9">M48*F48</f>
        <v>363300</v>
      </c>
      <c r="O48" s="500"/>
      <c r="P48" s="500"/>
      <c r="Q48" s="500"/>
      <c r="R48" s="500"/>
      <c r="S48" s="500"/>
    </row>
    <row r="49" spans="1:19" s="533" customFormat="1" ht="15" x14ac:dyDescent="0.25">
      <c r="A49" s="532"/>
      <c r="B49" s="500"/>
      <c r="C49" s="494">
        <v>3</v>
      </c>
      <c r="D49" s="603" t="s">
        <v>397</v>
      </c>
      <c r="E49" s="602"/>
      <c r="F49" s="606">
        <f>E43</f>
        <v>21100</v>
      </c>
      <c r="G49" s="391">
        <v>1</v>
      </c>
      <c r="H49" s="600">
        <f t="shared" si="6"/>
        <v>21100</v>
      </c>
      <c r="I49" s="608">
        <v>5</v>
      </c>
      <c r="J49" s="322">
        <f t="shared" si="7"/>
        <v>105500</v>
      </c>
      <c r="K49" s="613">
        <v>25</v>
      </c>
      <c r="L49" s="601">
        <f t="shared" si="8"/>
        <v>527500</v>
      </c>
      <c r="M49" s="500">
        <v>50</v>
      </c>
      <c r="N49" s="601">
        <f t="shared" si="9"/>
        <v>1055000</v>
      </c>
      <c r="O49" s="500"/>
      <c r="P49" s="500"/>
      <c r="Q49" s="500"/>
      <c r="R49" s="500"/>
      <c r="S49" s="500"/>
    </row>
    <row r="50" spans="1:19" s="533" customFormat="1" ht="15" x14ac:dyDescent="0.25">
      <c r="A50" s="532"/>
      <c r="B50" s="500"/>
      <c r="C50" s="490">
        <v>4</v>
      </c>
      <c r="D50" s="603" t="s">
        <v>396</v>
      </c>
      <c r="E50" s="602"/>
      <c r="F50" s="606">
        <f>E40</f>
        <v>11875</v>
      </c>
      <c r="G50" s="391">
        <v>4</v>
      </c>
      <c r="H50" s="600">
        <f t="shared" si="6"/>
        <v>47500</v>
      </c>
      <c r="I50" s="608">
        <v>4</v>
      </c>
      <c r="J50" s="322">
        <f t="shared" si="7"/>
        <v>47500</v>
      </c>
      <c r="K50" s="613">
        <v>4</v>
      </c>
      <c r="L50" s="601">
        <f t="shared" si="8"/>
        <v>47500</v>
      </c>
      <c r="M50" s="500">
        <v>4</v>
      </c>
      <c r="N50" s="601">
        <f t="shared" si="9"/>
        <v>47500</v>
      </c>
      <c r="O50" s="500"/>
      <c r="P50" s="500"/>
      <c r="Q50" s="500"/>
      <c r="R50" s="500"/>
      <c r="S50" s="500"/>
    </row>
    <row r="51" spans="1:19" s="533" customFormat="1" ht="15" x14ac:dyDescent="0.25">
      <c r="A51" s="532"/>
      <c r="B51" s="500"/>
      <c r="C51" s="490">
        <v>5</v>
      </c>
      <c r="D51" s="603" t="s">
        <v>401</v>
      </c>
      <c r="E51" s="607">
        <v>0.1</v>
      </c>
      <c r="F51" s="606">
        <f>E44</f>
        <v>8800</v>
      </c>
      <c r="G51" s="391">
        <f>SUM(G48:G49)*E51</f>
        <v>0.30000000000000004</v>
      </c>
      <c r="H51" s="600">
        <f t="shared" si="6"/>
        <v>2640.0000000000005</v>
      </c>
      <c r="I51" s="614">
        <f>SUM(I48:I49)*E51</f>
        <v>0.8</v>
      </c>
      <c r="J51" s="322">
        <f t="shared" si="7"/>
        <v>7040</v>
      </c>
      <c r="K51" s="613">
        <f>SUM(K48:K49)*E51</f>
        <v>3.1</v>
      </c>
      <c r="L51" s="601">
        <f t="shared" si="8"/>
        <v>27280</v>
      </c>
      <c r="M51" s="500">
        <f>SUM(M48:M49)*E51</f>
        <v>6.2</v>
      </c>
      <c r="N51" s="601">
        <f t="shared" si="9"/>
        <v>54560</v>
      </c>
      <c r="O51" s="500"/>
      <c r="P51" s="500"/>
      <c r="Q51" s="500"/>
      <c r="R51" s="500"/>
      <c r="S51" s="500"/>
    </row>
    <row r="52" spans="1:19" s="533" customFormat="1" ht="15" x14ac:dyDescent="0.25">
      <c r="A52" s="532"/>
      <c r="B52" s="500"/>
      <c r="C52" s="500"/>
      <c r="D52" s="500"/>
      <c r="E52" s="602"/>
      <c r="F52" s="404"/>
      <c r="G52" s="391"/>
      <c r="H52" s="600"/>
      <c r="I52" s="405"/>
      <c r="J52" s="615"/>
      <c r="K52" s="599"/>
      <c r="L52" s="601"/>
      <c r="M52" s="500"/>
      <c r="N52" s="601"/>
      <c r="O52" s="500"/>
      <c r="P52" s="500"/>
      <c r="Q52" s="500"/>
      <c r="R52" s="500"/>
      <c r="S52" s="500"/>
    </row>
    <row r="53" spans="1:19" s="533" customFormat="1" ht="15" x14ac:dyDescent="0.25">
      <c r="A53" s="532"/>
      <c r="B53" s="500"/>
      <c r="C53" s="383" t="s">
        <v>86</v>
      </c>
      <c r="D53" s="383"/>
      <c r="E53" s="616"/>
      <c r="F53" s="617"/>
      <c r="G53" s="618">
        <f t="shared" ref="G53:N53" si="10">SUM(G47:G51)</f>
        <v>14.3</v>
      </c>
      <c r="H53" s="619">
        <f t="shared" si="10"/>
        <v>214915</v>
      </c>
      <c r="I53" s="618">
        <f t="shared" si="10"/>
        <v>19.8</v>
      </c>
      <c r="J53" s="619">
        <f t="shared" si="10"/>
        <v>333990</v>
      </c>
      <c r="K53" s="618">
        <f t="shared" si="10"/>
        <v>45.1</v>
      </c>
      <c r="L53" s="619">
        <f t="shared" si="10"/>
        <v>867055</v>
      </c>
      <c r="M53" s="618">
        <f t="shared" si="10"/>
        <v>79.2</v>
      </c>
      <c r="N53" s="619">
        <f t="shared" si="10"/>
        <v>1603485</v>
      </c>
      <c r="O53" s="500"/>
      <c r="P53" s="500"/>
      <c r="Q53" s="500"/>
      <c r="R53" s="500"/>
      <c r="S53" s="500"/>
    </row>
    <row r="54" spans="1:19" s="533" customFormat="1" ht="15" x14ac:dyDescent="0.25">
      <c r="A54" s="532"/>
      <c r="B54" s="394"/>
      <c r="C54" s="500"/>
      <c r="D54" s="500"/>
      <c r="E54" s="602"/>
      <c r="F54" s="404"/>
      <c r="G54" s="391"/>
      <c r="H54" s="405"/>
      <c r="I54" s="405"/>
      <c r="J54" s="526"/>
      <c r="K54" s="599"/>
      <c r="L54" s="500"/>
      <c r="M54" s="500"/>
      <c r="N54" s="500"/>
      <c r="O54" s="500"/>
      <c r="P54" s="500"/>
      <c r="Q54" s="500"/>
      <c r="R54" s="500"/>
      <c r="S54" s="500"/>
    </row>
    <row r="55" spans="1:19" s="12" customFormat="1" ht="15" x14ac:dyDescent="0.25">
      <c r="A55" s="442"/>
      <c r="B55" s="442"/>
      <c r="C55" s="442"/>
      <c r="D55" s="442"/>
      <c r="E55" s="404"/>
      <c r="F55" s="404"/>
      <c r="G55" s="404"/>
      <c r="H55" s="404"/>
      <c r="I55" s="404"/>
      <c r="J55" s="404"/>
      <c r="K55" s="404"/>
      <c r="L55" s="382"/>
    </row>
    <row r="56" spans="1:19" ht="15" x14ac:dyDescent="0.25">
      <c r="A56" s="532" t="s">
        <v>81</v>
      </c>
      <c r="B56" s="394" t="s">
        <v>351</v>
      </c>
      <c r="C56" s="442"/>
      <c r="D56" s="442"/>
      <c r="E56" s="404"/>
      <c r="F56" s="404"/>
      <c r="G56" s="391"/>
      <c r="H56" s="405"/>
      <c r="I56" s="405"/>
      <c r="J56" s="405"/>
      <c r="K56" s="404"/>
      <c r="L56" s="404"/>
    </row>
    <row r="57" spans="1:19" s="533" customFormat="1" ht="15" x14ac:dyDescent="0.25">
      <c r="A57" s="532"/>
      <c r="B57" s="394"/>
      <c r="C57" s="500"/>
      <c r="D57" s="500"/>
      <c r="E57" s="404"/>
      <c r="F57" s="404"/>
      <c r="G57" s="391"/>
      <c r="H57" s="405"/>
      <c r="I57" s="405"/>
      <c r="J57" s="405"/>
      <c r="K57" s="404"/>
      <c r="L57" s="404"/>
    </row>
    <row r="58" spans="1:19" s="533" customFormat="1" ht="15" x14ac:dyDescent="0.25">
      <c r="A58" s="532"/>
      <c r="B58" s="500" t="s">
        <v>380</v>
      </c>
      <c r="C58" s="500"/>
      <c r="D58" s="500"/>
      <c r="E58" s="404"/>
      <c r="F58" s="404"/>
      <c r="G58" s="391"/>
      <c r="H58" s="405"/>
      <c r="I58" s="405"/>
      <c r="J58" s="405"/>
      <c r="K58" s="404"/>
      <c r="L58" s="404"/>
    </row>
    <row r="59" spans="1:19" s="533" customFormat="1" ht="15" x14ac:dyDescent="0.25">
      <c r="A59" s="532"/>
      <c r="B59" s="394"/>
      <c r="C59" s="500" t="s">
        <v>402</v>
      </c>
      <c r="D59" s="500"/>
      <c r="E59" s="404"/>
      <c r="F59" s="404"/>
      <c r="G59" s="391"/>
      <c r="H59" s="405"/>
      <c r="I59" s="405"/>
      <c r="J59" s="405"/>
      <c r="K59" s="404"/>
      <c r="L59" s="404"/>
    </row>
    <row r="60" spans="1:19" s="533" customFormat="1" ht="15" x14ac:dyDescent="0.25">
      <c r="A60" s="532"/>
      <c r="B60" s="394"/>
      <c r="C60" s="500"/>
      <c r="D60" s="500"/>
      <c r="E60" s="602"/>
      <c r="G60" s="532">
        <v>1</v>
      </c>
      <c r="H60" s="609" t="s">
        <v>400</v>
      </c>
      <c r="I60" s="610">
        <v>10</v>
      </c>
      <c r="J60" s="611" t="s">
        <v>68</v>
      </c>
      <c r="K60" s="610">
        <v>50</v>
      </c>
      <c r="L60" s="612" t="s">
        <v>68</v>
      </c>
      <c r="M60" s="610">
        <v>100</v>
      </c>
      <c r="N60" s="612" t="s">
        <v>68</v>
      </c>
    </row>
    <row r="61" spans="1:19" s="533" customFormat="1" ht="15" x14ac:dyDescent="0.25">
      <c r="A61" s="532"/>
      <c r="B61" s="500" t="s">
        <v>392</v>
      </c>
      <c r="C61" s="500"/>
      <c r="D61" s="500"/>
      <c r="E61" s="602"/>
      <c r="F61" s="604" t="s">
        <v>398</v>
      </c>
      <c r="G61" s="396" t="s">
        <v>399</v>
      </c>
      <c r="H61" s="605" t="s">
        <v>84</v>
      </c>
      <c r="I61" s="396" t="s">
        <v>399</v>
      </c>
      <c r="J61" s="605" t="s">
        <v>84</v>
      </c>
      <c r="K61" s="396" t="s">
        <v>399</v>
      </c>
      <c r="L61" s="605" t="s">
        <v>84</v>
      </c>
      <c r="M61" s="396" t="s">
        <v>399</v>
      </c>
      <c r="N61" s="605" t="s">
        <v>84</v>
      </c>
    </row>
    <row r="62" spans="1:19" s="533" customFormat="1" ht="15" x14ac:dyDescent="0.25">
      <c r="A62" s="532"/>
      <c r="B62" s="500"/>
      <c r="C62" s="490">
        <v>1</v>
      </c>
      <c r="D62" s="620" t="s">
        <v>395</v>
      </c>
      <c r="E62" s="602"/>
      <c r="F62" s="606">
        <v>21100</v>
      </c>
      <c r="G62" s="391">
        <v>2</v>
      </c>
      <c r="H62" s="600">
        <f t="shared" ref="H62:H64" si="11">F62*G62</f>
        <v>42200</v>
      </c>
      <c r="I62" s="608">
        <v>2</v>
      </c>
      <c r="J62" s="322">
        <f t="shared" ref="J62:J64" si="12">I62*F62</f>
        <v>42200</v>
      </c>
      <c r="K62" s="613">
        <v>2</v>
      </c>
      <c r="L62" s="601">
        <f t="shared" ref="L62:L64" si="13">K62*F62</f>
        <v>42200</v>
      </c>
      <c r="M62" s="500">
        <v>2</v>
      </c>
      <c r="N62" s="601">
        <f t="shared" ref="N62:N64" si="14">M62*F62</f>
        <v>42200</v>
      </c>
    </row>
    <row r="63" spans="1:19" s="533" customFormat="1" ht="15" x14ac:dyDescent="0.25">
      <c r="A63" s="532"/>
      <c r="B63" s="500"/>
      <c r="C63" s="490">
        <v>2</v>
      </c>
      <c r="D63" s="620" t="s">
        <v>362</v>
      </c>
      <c r="E63" s="602"/>
      <c r="F63" s="606">
        <v>21100</v>
      </c>
      <c r="G63" s="391">
        <v>0</v>
      </c>
      <c r="H63" s="600">
        <f t="shared" si="11"/>
        <v>0</v>
      </c>
      <c r="I63" s="608">
        <v>0</v>
      </c>
      <c r="J63" s="322">
        <f t="shared" si="12"/>
        <v>0</v>
      </c>
      <c r="K63" s="613">
        <v>4</v>
      </c>
      <c r="L63" s="601">
        <f t="shared" si="13"/>
        <v>84400</v>
      </c>
      <c r="M63" s="500">
        <v>9</v>
      </c>
      <c r="N63" s="601">
        <f t="shared" si="14"/>
        <v>189900</v>
      </c>
    </row>
    <row r="64" spans="1:19" s="533" customFormat="1" ht="15" x14ac:dyDescent="0.25">
      <c r="A64" s="532"/>
      <c r="B64" s="500"/>
      <c r="C64" s="490">
        <v>3</v>
      </c>
      <c r="D64" s="620" t="s">
        <v>401</v>
      </c>
      <c r="E64" s="607">
        <v>0.1</v>
      </c>
      <c r="F64" s="606">
        <v>8800</v>
      </c>
      <c r="G64" s="391">
        <f>SUM(G62:G63)*E64</f>
        <v>0.2</v>
      </c>
      <c r="H64" s="600">
        <f t="shared" si="11"/>
        <v>1760</v>
      </c>
      <c r="I64" s="614">
        <f>SUM(I62:I63)*E64</f>
        <v>0.2</v>
      </c>
      <c r="J64" s="322">
        <f t="shared" si="12"/>
        <v>1760</v>
      </c>
      <c r="K64" s="613">
        <f>SUM(K62:K63)*E64</f>
        <v>0.60000000000000009</v>
      </c>
      <c r="L64" s="601">
        <f t="shared" si="13"/>
        <v>5280.0000000000009</v>
      </c>
      <c r="M64" s="500">
        <f>SUM(M62:M63)*E64</f>
        <v>1.1000000000000001</v>
      </c>
      <c r="N64" s="601">
        <f t="shared" si="14"/>
        <v>9680</v>
      </c>
    </row>
    <row r="65" spans="1:22" s="533" customFormat="1" ht="15" x14ac:dyDescent="0.25">
      <c r="A65" s="532"/>
      <c r="B65" s="500"/>
      <c r="C65" s="500"/>
      <c r="D65" s="500" t="s">
        <v>403</v>
      </c>
      <c r="E65" s="602"/>
      <c r="F65" s="404"/>
      <c r="G65" s="391"/>
      <c r="H65" s="600">
        <v>65000</v>
      </c>
      <c r="I65" s="405"/>
      <c r="J65" s="621">
        <v>65000</v>
      </c>
      <c r="K65" s="599"/>
      <c r="L65" s="601">
        <v>65000</v>
      </c>
      <c r="M65" s="500"/>
      <c r="N65" s="601">
        <v>65000</v>
      </c>
    </row>
    <row r="66" spans="1:22" s="533" customFormat="1" ht="15" x14ac:dyDescent="0.25">
      <c r="A66" s="532"/>
      <c r="B66" s="500"/>
      <c r="C66" s="500"/>
      <c r="D66" s="500"/>
      <c r="E66" s="602"/>
      <c r="F66" s="404"/>
      <c r="G66" s="391"/>
      <c r="H66" s="600"/>
      <c r="I66" s="405"/>
      <c r="J66" s="621"/>
      <c r="K66" s="599"/>
      <c r="L66" s="601"/>
      <c r="M66" s="500"/>
      <c r="N66" s="601"/>
    </row>
    <row r="67" spans="1:22" s="533" customFormat="1" ht="15" x14ac:dyDescent="0.25">
      <c r="A67" s="532"/>
      <c r="B67" s="500"/>
      <c r="C67" s="383" t="s">
        <v>86</v>
      </c>
      <c r="D67" s="383"/>
      <c r="E67" s="616"/>
      <c r="F67" s="617"/>
      <c r="G67" s="618">
        <f>SUM(G62:G64)</f>
        <v>2.2000000000000002</v>
      </c>
      <c r="H67" s="619">
        <f>SUM(H62:H65)</f>
        <v>108960</v>
      </c>
      <c r="I67" s="619">
        <f t="shared" ref="I67:N67" si="15">SUM(I62:I65)</f>
        <v>2.2000000000000002</v>
      </c>
      <c r="J67" s="619">
        <f t="shared" si="15"/>
        <v>108960</v>
      </c>
      <c r="K67" s="619">
        <f t="shared" si="15"/>
        <v>6.6</v>
      </c>
      <c r="L67" s="619">
        <f t="shared" si="15"/>
        <v>196880</v>
      </c>
      <c r="M67" s="619">
        <f t="shared" si="15"/>
        <v>12.1</v>
      </c>
      <c r="N67" s="619">
        <f t="shared" si="15"/>
        <v>306780</v>
      </c>
    </row>
    <row r="68" spans="1:22" s="436" customFormat="1" ht="15" x14ac:dyDescent="0.25">
      <c r="A68" s="394"/>
      <c r="B68" s="394"/>
      <c r="C68" s="500"/>
      <c r="D68" s="500"/>
      <c r="E68" s="602"/>
      <c r="F68" s="404"/>
      <c r="G68" s="391"/>
      <c r="H68" s="405"/>
      <c r="I68" s="405"/>
      <c r="J68" s="526"/>
      <c r="K68" s="599"/>
      <c r="L68" s="500"/>
      <c r="M68" s="500"/>
      <c r="N68" s="500"/>
    </row>
    <row r="69" spans="1:22" ht="15" x14ac:dyDescent="0.25">
      <c r="A69" s="442"/>
      <c r="B69" s="442"/>
      <c r="C69" s="442"/>
      <c r="D69" s="442"/>
      <c r="E69" s="442"/>
      <c r="F69" s="404"/>
      <c r="G69" s="404"/>
      <c r="H69" s="404"/>
      <c r="I69" s="404"/>
      <c r="J69" s="404"/>
      <c r="K69" s="404"/>
      <c r="L69" s="442"/>
    </row>
    <row r="70" spans="1:22" ht="15" x14ac:dyDescent="0.25">
      <c r="A70" s="532" t="s">
        <v>82</v>
      </c>
      <c r="B70" s="394" t="s">
        <v>52</v>
      </c>
      <c r="C70" s="442"/>
      <c r="D70" s="442"/>
      <c r="E70" s="442"/>
      <c r="F70" s="404"/>
      <c r="G70" s="391"/>
      <c r="H70" s="405"/>
      <c r="I70" s="405"/>
      <c r="J70" s="405"/>
      <c r="K70" s="404"/>
      <c r="L70" s="442"/>
      <c r="M70" s="442"/>
      <c r="N70" s="442"/>
      <c r="O70" s="442"/>
      <c r="P70" s="442"/>
      <c r="Q70" s="442"/>
      <c r="R70" s="442"/>
      <c r="S70" s="442"/>
      <c r="T70" s="442"/>
      <c r="U70" s="442"/>
      <c r="V70" s="442"/>
    </row>
    <row r="71" spans="1:22" s="533" customFormat="1" ht="15" x14ac:dyDescent="0.25">
      <c r="A71" s="532"/>
      <c r="B71" s="394"/>
      <c r="C71" s="500"/>
      <c r="D71" s="500"/>
      <c r="E71" s="500"/>
      <c r="F71" s="404"/>
      <c r="G71" s="391"/>
      <c r="H71" s="405"/>
      <c r="I71" s="405"/>
      <c r="J71" s="405"/>
      <c r="K71" s="404"/>
      <c r="L71" s="500"/>
      <c r="M71" s="500"/>
      <c r="N71" s="500"/>
      <c r="O71" s="500"/>
      <c r="P71" s="500"/>
      <c r="Q71" s="500"/>
      <c r="R71" s="500"/>
      <c r="S71" s="500"/>
      <c r="T71" s="500"/>
      <c r="U71" s="500"/>
      <c r="V71" s="500"/>
    </row>
    <row r="72" spans="1:22" s="533" customFormat="1" ht="15" x14ac:dyDescent="0.25">
      <c r="A72" s="532"/>
      <c r="B72" s="500" t="s">
        <v>404</v>
      </c>
      <c r="C72" s="500"/>
      <c r="D72" s="500"/>
      <c r="E72" s="500"/>
      <c r="F72" s="404"/>
      <c r="G72" s="391"/>
      <c r="H72" s="405"/>
      <c r="I72" s="405"/>
      <c r="J72" s="405"/>
      <c r="K72" s="404"/>
      <c r="L72" s="500"/>
      <c r="M72" s="500"/>
      <c r="N72" s="500"/>
      <c r="O72" s="500"/>
      <c r="P72" s="500"/>
      <c r="Q72" s="500"/>
      <c r="R72" s="500"/>
      <c r="S72" s="500"/>
      <c r="T72" s="500"/>
      <c r="U72" s="500"/>
      <c r="V72" s="500"/>
    </row>
    <row r="73" spans="1:22" s="533" customFormat="1" ht="15" x14ac:dyDescent="0.25">
      <c r="A73" s="532"/>
      <c r="B73" s="394"/>
      <c r="C73" s="500" t="s">
        <v>405</v>
      </c>
      <c r="D73" s="500"/>
      <c r="E73" s="500"/>
      <c r="F73" s="404"/>
      <c r="G73" s="391"/>
      <c r="H73" s="405"/>
      <c r="I73" s="405"/>
      <c r="J73" s="405"/>
      <c r="K73" s="404"/>
      <c r="L73" s="500"/>
      <c r="M73" s="500"/>
      <c r="N73" s="500"/>
      <c r="O73" s="500"/>
      <c r="P73" s="500"/>
      <c r="Q73" s="500"/>
      <c r="R73" s="500"/>
      <c r="S73" s="500"/>
      <c r="T73" s="500"/>
      <c r="U73" s="500"/>
      <c r="V73" s="500"/>
    </row>
    <row r="74" spans="1:22" s="533" customFormat="1" ht="15" x14ac:dyDescent="0.25">
      <c r="A74" s="532"/>
      <c r="B74" s="394"/>
      <c r="C74" s="500" t="s">
        <v>408</v>
      </c>
      <c r="D74" s="500"/>
      <c r="E74" s="500"/>
      <c r="F74" s="404"/>
      <c r="G74" s="391"/>
      <c r="H74" s="405"/>
      <c r="I74" s="405"/>
      <c r="J74" s="405"/>
      <c r="K74" s="404"/>
      <c r="L74" s="500"/>
      <c r="M74" s="500"/>
      <c r="N74" s="500"/>
      <c r="O74" s="500"/>
      <c r="P74" s="500"/>
      <c r="Q74" s="500"/>
      <c r="R74" s="500"/>
      <c r="S74" s="500"/>
      <c r="T74" s="500"/>
      <c r="U74" s="500"/>
      <c r="V74" s="500"/>
    </row>
    <row r="75" spans="1:22" s="533" customFormat="1" ht="15" x14ac:dyDescent="0.25">
      <c r="A75" s="532"/>
      <c r="B75" s="394"/>
      <c r="C75" s="500" t="s">
        <v>410</v>
      </c>
      <c r="D75" s="500"/>
      <c r="E75" s="500"/>
      <c r="F75" s="404"/>
      <c r="G75" s="391"/>
      <c r="H75" s="405"/>
      <c r="I75" s="405"/>
      <c r="J75" s="405"/>
      <c r="K75" s="404"/>
      <c r="L75" s="500"/>
      <c r="M75" s="500"/>
      <c r="N75" s="500"/>
      <c r="O75" s="500"/>
      <c r="P75" s="500"/>
      <c r="Q75" s="500"/>
      <c r="R75" s="500"/>
      <c r="S75" s="500"/>
      <c r="T75" s="500"/>
      <c r="U75" s="500"/>
      <c r="V75" s="500"/>
    </row>
    <row r="76" spans="1:22" s="533" customFormat="1" ht="15" x14ac:dyDescent="0.25">
      <c r="A76" s="532"/>
      <c r="B76" s="394"/>
      <c r="C76" s="500"/>
      <c r="D76" s="500"/>
      <c r="E76" s="500"/>
      <c r="F76" s="404"/>
      <c r="G76" s="391"/>
      <c r="H76" s="405"/>
      <c r="I76" s="405"/>
      <c r="J76" s="405"/>
      <c r="K76" s="404"/>
      <c r="L76" s="500"/>
      <c r="M76" s="500"/>
      <c r="N76" s="500"/>
      <c r="O76" s="500"/>
      <c r="P76" s="500"/>
      <c r="Q76" s="500"/>
      <c r="R76" s="500"/>
      <c r="S76" s="500"/>
      <c r="T76" s="500"/>
      <c r="U76" s="500"/>
      <c r="V76" s="500"/>
    </row>
    <row r="77" spans="1:22" s="533" customFormat="1" ht="15" x14ac:dyDescent="0.25">
      <c r="A77" s="532"/>
      <c r="B77" s="394"/>
      <c r="C77" s="500"/>
      <c r="D77" s="500"/>
      <c r="E77" s="500"/>
      <c r="F77" s="404"/>
      <c r="G77" s="610" t="s">
        <v>105</v>
      </c>
      <c r="H77" s="622" t="s">
        <v>94</v>
      </c>
      <c r="I77" s="622" t="s">
        <v>95</v>
      </c>
      <c r="J77" s="622" t="s">
        <v>96</v>
      </c>
      <c r="K77" s="404"/>
      <c r="L77" s="500"/>
      <c r="M77" s="500"/>
      <c r="N77" s="500"/>
      <c r="O77" s="500"/>
      <c r="P77" s="500"/>
      <c r="Q77" s="500"/>
      <c r="R77" s="500"/>
      <c r="S77" s="500"/>
      <c r="T77" s="500"/>
      <c r="U77" s="500"/>
      <c r="V77" s="500"/>
    </row>
    <row r="78" spans="1:22" s="533" customFormat="1" ht="15" x14ac:dyDescent="0.25">
      <c r="A78" s="532"/>
      <c r="B78" s="394"/>
      <c r="C78" s="500" t="s">
        <v>406</v>
      </c>
      <c r="D78" s="500"/>
      <c r="E78" s="500"/>
      <c r="F78" s="404"/>
      <c r="G78" s="600">
        <v>33260</v>
      </c>
      <c r="H78" s="600">
        <v>62600</v>
      </c>
      <c r="I78" s="600">
        <v>193000</v>
      </c>
      <c r="J78" s="600">
        <v>356000</v>
      </c>
      <c r="K78" s="404"/>
      <c r="L78" s="500"/>
      <c r="M78" s="500"/>
      <c r="N78" s="500"/>
      <c r="O78" s="500"/>
      <c r="P78" s="500"/>
      <c r="Q78" s="500"/>
      <c r="R78" s="500"/>
      <c r="S78" s="500"/>
      <c r="T78" s="500"/>
      <c r="U78" s="500"/>
      <c r="V78" s="500"/>
    </row>
    <row r="79" spans="1:22" s="533" customFormat="1" ht="15" x14ac:dyDescent="0.25">
      <c r="A79" s="532"/>
      <c r="B79" s="394"/>
      <c r="C79" s="500" t="s">
        <v>407</v>
      </c>
      <c r="D79" s="500"/>
      <c r="E79" s="500" t="s">
        <v>409</v>
      </c>
      <c r="F79" s="404"/>
      <c r="G79" s="600">
        <v>1280</v>
      </c>
      <c r="H79" s="600">
        <f>G79*10</f>
        <v>12800</v>
      </c>
      <c r="I79" s="600">
        <f>G79*50</f>
        <v>64000</v>
      </c>
      <c r="J79" s="600">
        <f>G79*100</f>
        <v>128000</v>
      </c>
      <c r="K79" s="404"/>
      <c r="L79" s="500"/>
      <c r="M79" s="500"/>
      <c r="N79" s="500"/>
      <c r="O79" s="500"/>
      <c r="P79" s="500"/>
      <c r="Q79" s="500"/>
      <c r="R79" s="500"/>
      <c r="S79" s="500"/>
      <c r="T79" s="500"/>
      <c r="U79" s="500"/>
      <c r="V79" s="500"/>
    </row>
    <row r="80" spans="1:22" s="533" customFormat="1" ht="15" x14ac:dyDescent="0.25">
      <c r="A80" s="532"/>
      <c r="B80" s="394"/>
      <c r="C80" s="500"/>
      <c r="D80" s="500"/>
      <c r="E80" s="500"/>
      <c r="F80" s="404"/>
      <c r="G80" s="391"/>
      <c r="H80" s="405"/>
      <c r="I80" s="405"/>
      <c r="J80" s="405"/>
      <c r="K80" s="404"/>
      <c r="L80" s="500"/>
      <c r="M80" s="500"/>
      <c r="N80" s="500"/>
      <c r="O80" s="500"/>
      <c r="P80" s="500"/>
      <c r="Q80" s="500"/>
      <c r="R80" s="500"/>
      <c r="S80" s="500"/>
      <c r="T80" s="500"/>
      <c r="U80" s="500"/>
      <c r="V80" s="500"/>
    </row>
    <row r="81" spans="1:22" s="72" customFormat="1" ht="15" x14ac:dyDescent="0.25">
      <c r="A81" s="394"/>
      <c r="B81" s="394"/>
      <c r="C81" s="383" t="s">
        <v>86</v>
      </c>
      <c r="D81" s="383"/>
      <c r="E81" s="383"/>
      <c r="F81" s="383"/>
      <c r="G81" s="387">
        <f>SUM(G78:G79)</f>
        <v>34540</v>
      </c>
      <c r="H81" s="387">
        <f t="shared" ref="H81:J81" si="16">SUM(H78:H79)</f>
        <v>75400</v>
      </c>
      <c r="I81" s="387">
        <f t="shared" si="16"/>
        <v>257000</v>
      </c>
      <c r="J81" s="387">
        <f t="shared" si="16"/>
        <v>484000</v>
      </c>
      <c r="K81" s="441"/>
      <c r="L81" s="441"/>
      <c r="M81" s="441"/>
      <c r="N81" s="441"/>
      <c r="O81" s="441"/>
      <c r="P81" s="441"/>
      <c r="Q81" s="441"/>
      <c r="R81" s="359"/>
      <c r="S81" s="359"/>
      <c r="T81" s="359"/>
      <c r="U81" s="359"/>
      <c r="V81" s="359"/>
    </row>
    <row r="82" spans="1:22" s="72" customFormat="1" ht="15" x14ac:dyDescent="0.25">
      <c r="A82" s="394"/>
      <c r="B82" s="394"/>
      <c r="C82" s="403"/>
      <c r="D82" s="403"/>
      <c r="E82" s="403"/>
      <c r="F82" s="403"/>
      <c r="G82" s="401"/>
      <c r="H82" s="401"/>
      <c r="I82" s="401"/>
      <c r="J82" s="401"/>
      <c r="K82" s="441"/>
      <c r="L82" s="441"/>
      <c r="M82" s="441"/>
      <c r="N82" s="441"/>
      <c r="O82" s="441"/>
      <c r="P82" s="441"/>
      <c r="Q82" s="441"/>
      <c r="R82" s="359"/>
      <c r="S82" s="359"/>
      <c r="T82" s="359"/>
      <c r="U82" s="359"/>
      <c r="V82" s="359"/>
    </row>
    <row r="83" spans="1:22" ht="15" x14ac:dyDescent="0.25">
      <c r="A83" s="441"/>
      <c r="B83" s="441"/>
      <c r="C83" s="403"/>
      <c r="D83" s="403"/>
      <c r="E83" s="403"/>
      <c r="F83" s="403"/>
      <c r="G83" s="403"/>
      <c r="H83" s="403"/>
      <c r="I83" s="403"/>
      <c r="J83" s="403"/>
      <c r="K83" s="441"/>
      <c r="L83" s="441"/>
      <c r="M83" s="441"/>
      <c r="N83" s="441"/>
      <c r="O83" s="441"/>
      <c r="P83" s="441"/>
      <c r="Q83" s="441"/>
      <c r="R83" s="359"/>
      <c r="S83" s="359"/>
      <c r="T83" s="359"/>
      <c r="U83" s="359"/>
      <c r="V83" s="359"/>
    </row>
    <row r="84" spans="1:22" ht="15" x14ac:dyDescent="0.25">
      <c r="A84" s="394" t="s">
        <v>83</v>
      </c>
      <c r="B84" s="394" t="s">
        <v>53</v>
      </c>
      <c r="C84" s="451"/>
      <c r="D84" s="451"/>
      <c r="E84" s="451"/>
      <c r="F84" s="451"/>
      <c r="G84" s="391"/>
      <c r="H84" s="405"/>
      <c r="I84" s="405"/>
      <c r="J84" s="405"/>
      <c r="K84" s="451"/>
      <c r="L84" s="359"/>
      <c r="M84" s="359"/>
      <c r="N84" s="359"/>
      <c r="O84" s="359"/>
      <c r="P84" s="359"/>
      <c r="Q84" s="359"/>
      <c r="R84" s="359"/>
      <c r="S84" s="359"/>
      <c r="T84" s="359"/>
      <c r="U84" s="359"/>
      <c r="V84" s="359"/>
    </row>
    <row r="85" spans="1:22" s="533" customFormat="1" ht="15" x14ac:dyDescent="0.25">
      <c r="A85" s="394"/>
      <c r="B85" s="394"/>
      <c r="C85" s="500"/>
      <c r="D85" s="500"/>
      <c r="E85" s="500"/>
      <c r="F85" s="500"/>
      <c r="G85" s="391"/>
      <c r="H85" s="405"/>
      <c r="I85" s="405"/>
      <c r="J85" s="405"/>
      <c r="K85" s="500"/>
      <c r="L85" s="359"/>
      <c r="M85" s="359"/>
      <c r="N85" s="359"/>
      <c r="O85" s="359"/>
      <c r="P85" s="359"/>
      <c r="Q85" s="359"/>
      <c r="R85" s="359"/>
      <c r="S85" s="359"/>
      <c r="T85" s="359"/>
      <c r="U85" s="359"/>
      <c r="V85" s="359"/>
    </row>
    <row r="86" spans="1:22" s="533" customFormat="1" ht="15" x14ac:dyDescent="0.25">
      <c r="A86" s="394"/>
      <c r="B86" s="500" t="s">
        <v>380</v>
      </c>
      <c r="C86" s="500"/>
      <c r="D86" s="500"/>
      <c r="E86" s="500"/>
      <c r="F86" s="500"/>
      <c r="G86" s="391"/>
      <c r="H86" s="405"/>
      <c r="I86" s="405"/>
      <c r="J86" s="405"/>
      <c r="K86" s="500"/>
      <c r="L86" s="359"/>
      <c r="M86" s="359"/>
      <c r="N86" s="359"/>
      <c r="O86" s="359"/>
      <c r="P86" s="359"/>
      <c r="Q86" s="359"/>
      <c r="R86" s="359"/>
      <c r="S86" s="359"/>
      <c r="T86" s="359"/>
      <c r="U86" s="359"/>
      <c r="V86" s="359"/>
    </row>
    <row r="87" spans="1:22" ht="15" x14ac:dyDescent="0.25">
      <c r="A87" s="451"/>
      <c r="B87" s="394"/>
      <c r="C87" s="451" t="s">
        <v>411</v>
      </c>
      <c r="D87" s="451"/>
      <c r="E87" s="451"/>
      <c r="F87" s="412"/>
      <c r="G87" s="406"/>
      <c r="H87" s="406"/>
      <c r="I87" s="406"/>
      <c r="J87" s="406"/>
      <c r="K87" s="451"/>
      <c r="L87" s="359"/>
      <c r="M87" s="359"/>
      <c r="N87" s="359"/>
      <c r="O87" s="359"/>
      <c r="P87" s="359"/>
      <c r="Q87" s="359"/>
      <c r="R87" s="359"/>
      <c r="S87" s="359"/>
      <c r="T87" s="359"/>
      <c r="U87" s="359"/>
      <c r="V87" s="359"/>
    </row>
    <row r="88" spans="1:22" s="533" customFormat="1" ht="15" x14ac:dyDescent="0.25">
      <c r="A88" s="500"/>
      <c r="B88" s="394"/>
      <c r="C88" s="500"/>
      <c r="D88" s="500"/>
      <c r="E88" s="500"/>
      <c r="F88" s="412"/>
      <c r="G88" s="623" t="s">
        <v>105</v>
      </c>
      <c r="H88" s="623" t="s">
        <v>94</v>
      </c>
      <c r="I88" s="623" t="s">
        <v>95</v>
      </c>
      <c r="J88" s="623" t="s">
        <v>96</v>
      </c>
      <c r="K88" s="500"/>
      <c r="L88" s="359"/>
      <c r="M88" s="359"/>
      <c r="N88" s="359"/>
      <c r="O88" s="359"/>
      <c r="P88" s="359"/>
      <c r="Q88" s="359"/>
      <c r="R88" s="359"/>
      <c r="S88" s="359"/>
      <c r="T88" s="359"/>
      <c r="U88" s="359"/>
      <c r="V88" s="359"/>
    </row>
    <row r="89" spans="1:22" s="533" customFormat="1" ht="15" x14ac:dyDescent="0.25">
      <c r="A89" s="500"/>
      <c r="B89" s="394"/>
      <c r="C89" s="500" t="s">
        <v>53</v>
      </c>
      <c r="D89" s="500"/>
      <c r="E89" s="500"/>
      <c r="F89" s="412"/>
      <c r="G89" s="406">
        <f>G79</f>
        <v>1280</v>
      </c>
      <c r="H89" s="406">
        <f t="shared" ref="H89:J89" si="17">H79</f>
        <v>12800</v>
      </c>
      <c r="I89" s="406">
        <f t="shared" si="17"/>
        <v>64000</v>
      </c>
      <c r="J89" s="406">
        <f t="shared" si="17"/>
        <v>128000</v>
      </c>
      <c r="K89" s="500"/>
      <c r="L89" s="359"/>
      <c r="M89" s="359"/>
      <c r="N89" s="359"/>
      <c r="O89" s="359"/>
      <c r="P89" s="359"/>
      <c r="Q89" s="359"/>
      <c r="R89" s="359"/>
      <c r="S89" s="359"/>
      <c r="T89" s="359"/>
      <c r="U89" s="359"/>
      <c r="V89" s="359"/>
    </row>
    <row r="90" spans="1:22" ht="15" x14ac:dyDescent="0.25">
      <c r="A90" s="451"/>
      <c r="B90" s="394"/>
      <c r="C90" s="451"/>
      <c r="D90" s="381"/>
      <c r="E90" s="451"/>
      <c r="F90" s="412"/>
      <c r="G90" s="406"/>
      <c r="H90" s="406"/>
      <c r="I90" s="406"/>
      <c r="J90" s="406"/>
      <c r="K90" s="451"/>
      <c r="L90" s="359"/>
      <c r="M90" s="359"/>
      <c r="N90" s="359"/>
      <c r="O90" s="359"/>
      <c r="P90" s="359"/>
      <c r="Q90" s="359"/>
      <c r="R90" s="359"/>
      <c r="S90" s="359"/>
      <c r="T90" s="359"/>
      <c r="U90" s="359"/>
      <c r="V90" s="359"/>
    </row>
    <row r="91" spans="1:22" ht="15" x14ac:dyDescent="0.25">
      <c r="A91" s="451"/>
      <c r="B91" s="394"/>
      <c r="C91" s="451"/>
      <c r="D91" s="451"/>
      <c r="E91" s="451"/>
      <c r="F91" s="451"/>
      <c r="G91" s="451"/>
      <c r="H91" s="451"/>
      <c r="I91" s="451"/>
      <c r="J91" s="451"/>
      <c r="K91" s="451"/>
      <c r="L91" s="359"/>
      <c r="M91" s="359"/>
      <c r="N91" s="359"/>
      <c r="O91" s="359"/>
      <c r="P91" s="359"/>
      <c r="Q91" s="359"/>
      <c r="R91" s="359"/>
      <c r="S91" s="359"/>
      <c r="T91" s="359"/>
      <c r="U91" s="359"/>
      <c r="V91" s="359"/>
    </row>
    <row r="92" spans="1:22" ht="15" x14ac:dyDescent="0.25">
      <c r="A92" s="451"/>
      <c r="B92" s="394"/>
      <c r="C92" s="383" t="s">
        <v>86</v>
      </c>
      <c r="D92" s="383"/>
      <c r="E92" s="383"/>
      <c r="F92" s="383"/>
      <c r="G92" s="387">
        <f>SUM(G87:G90)</f>
        <v>1280</v>
      </c>
      <c r="H92" s="387">
        <f t="shared" ref="H92:J92" si="18">SUM(H87:H90)</f>
        <v>12800</v>
      </c>
      <c r="I92" s="387">
        <f t="shared" si="18"/>
        <v>64000</v>
      </c>
      <c r="J92" s="387">
        <f t="shared" si="18"/>
        <v>128000</v>
      </c>
      <c r="K92" s="451"/>
      <c r="L92" s="359"/>
      <c r="M92" s="359"/>
      <c r="N92" s="359"/>
      <c r="O92" s="359"/>
      <c r="P92" s="359"/>
      <c r="Q92" s="359"/>
      <c r="R92" s="359"/>
      <c r="S92" s="359"/>
      <c r="T92" s="359"/>
      <c r="U92" s="359"/>
      <c r="V92" s="359"/>
    </row>
    <row r="93" spans="1:22" ht="15" x14ac:dyDescent="0.25">
      <c r="A93" s="451"/>
      <c r="B93" s="451"/>
      <c r="C93" s="451"/>
      <c r="D93" s="451"/>
      <c r="E93" s="451"/>
      <c r="F93" s="451"/>
      <c r="G93" s="451"/>
      <c r="H93" s="451"/>
      <c r="I93" s="451"/>
      <c r="J93" s="451"/>
      <c r="K93" s="451"/>
      <c r="L93" s="359"/>
      <c r="M93" s="359"/>
      <c r="N93" s="359"/>
      <c r="O93" s="359"/>
      <c r="P93" s="359"/>
      <c r="Q93" s="359"/>
      <c r="R93" s="359"/>
      <c r="S93" s="359"/>
      <c r="T93" s="359"/>
      <c r="U93" s="359"/>
      <c r="V93" s="359"/>
    </row>
    <row r="94" spans="1:22" ht="15" x14ac:dyDescent="0.25">
      <c r="A94" s="451"/>
      <c r="B94" s="451"/>
      <c r="C94" s="451"/>
      <c r="D94" s="451"/>
      <c r="E94" s="451"/>
      <c r="F94" s="451"/>
      <c r="G94" s="451"/>
      <c r="H94" s="451"/>
      <c r="I94" s="451"/>
      <c r="J94" s="451"/>
      <c r="K94" s="451"/>
      <c r="L94" s="359"/>
      <c r="M94" s="359"/>
      <c r="N94" s="359"/>
      <c r="O94" s="359"/>
      <c r="P94" s="359"/>
      <c r="Q94" s="359"/>
      <c r="R94" s="359"/>
      <c r="S94" s="359"/>
      <c r="T94" s="359"/>
      <c r="U94" s="359"/>
      <c r="V94" s="359"/>
    </row>
    <row r="95" spans="1:22" s="317" customFormat="1" ht="15" x14ac:dyDescent="0.25">
      <c r="A95" s="394" t="s">
        <v>170</v>
      </c>
      <c r="B95" s="442"/>
      <c r="C95" s="442"/>
      <c r="D95" s="442"/>
      <c r="E95" s="442"/>
      <c r="F95" s="442"/>
      <c r="G95" s="442"/>
      <c r="H95" s="442"/>
      <c r="I95" s="442"/>
      <c r="J95" s="442"/>
      <c r="K95" s="442"/>
      <c r="L95" s="359"/>
      <c r="M95" s="359"/>
      <c r="N95" s="359"/>
      <c r="O95" s="359"/>
      <c r="P95" s="359"/>
      <c r="Q95" s="359"/>
      <c r="R95" s="359"/>
      <c r="S95" s="359"/>
      <c r="T95" s="359"/>
      <c r="U95" s="359"/>
      <c r="V95" s="359"/>
    </row>
    <row r="96" spans="1:22" s="533" customFormat="1" ht="15" x14ac:dyDescent="0.25">
      <c r="A96" s="500" t="s">
        <v>78</v>
      </c>
      <c r="B96" s="500" t="s">
        <v>378</v>
      </c>
      <c r="C96" s="500"/>
      <c r="D96" s="500"/>
      <c r="E96" s="500"/>
      <c r="F96" s="500"/>
      <c r="G96" s="500"/>
      <c r="H96" s="500"/>
      <c r="I96" s="500"/>
      <c r="J96" s="500"/>
      <c r="K96" s="500"/>
      <c r="L96" s="359"/>
      <c r="M96" s="359"/>
      <c r="N96" s="359"/>
      <c r="O96" s="359"/>
      <c r="P96" s="359"/>
      <c r="Q96" s="359"/>
      <c r="R96" s="359"/>
      <c r="S96" s="359"/>
      <c r="T96" s="359"/>
      <c r="U96" s="359"/>
      <c r="V96" s="359"/>
    </row>
    <row r="97" spans="1:22" ht="15" x14ac:dyDescent="0.25">
      <c r="A97" s="442" t="s">
        <v>79</v>
      </c>
      <c r="B97" s="442" t="s">
        <v>377</v>
      </c>
      <c r="C97" s="442"/>
      <c r="D97" s="442"/>
      <c r="E97" s="442"/>
      <c r="F97" s="442"/>
      <c r="G97" s="442"/>
      <c r="H97" s="442"/>
      <c r="I97" s="442"/>
      <c r="J97" s="442"/>
      <c r="K97" s="442"/>
      <c r="L97" s="359"/>
      <c r="M97" s="359"/>
      <c r="N97" s="359"/>
      <c r="O97" s="359"/>
      <c r="P97" s="359"/>
      <c r="Q97" s="359"/>
      <c r="R97" s="359"/>
      <c r="S97" s="359"/>
      <c r="T97" s="359"/>
      <c r="U97" s="359"/>
      <c r="V97" s="359"/>
    </row>
    <row r="98" spans="1:22" s="533" customFormat="1" ht="15" x14ac:dyDescent="0.25">
      <c r="A98" s="500" t="s">
        <v>80</v>
      </c>
      <c r="B98" s="500" t="s">
        <v>542</v>
      </c>
      <c r="C98" s="500"/>
      <c r="D98" s="500"/>
      <c r="E98" s="500"/>
      <c r="F98" s="500"/>
      <c r="G98" s="500"/>
      <c r="H98" s="500"/>
      <c r="I98" s="500"/>
      <c r="J98" s="500"/>
      <c r="K98" s="500"/>
      <c r="L98" s="359"/>
      <c r="M98" s="359"/>
      <c r="N98" s="359"/>
      <c r="O98" s="359"/>
      <c r="P98" s="359"/>
      <c r="Q98" s="359"/>
      <c r="R98" s="359"/>
      <c r="S98" s="359"/>
      <c r="T98" s="359"/>
      <c r="U98" s="359"/>
      <c r="V98" s="359"/>
    </row>
    <row r="99" spans="1:22" s="533" customFormat="1" ht="15" x14ac:dyDescent="0.25">
      <c r="A99" s="500" t="s">
        <v>81</v>
      </c>
      <c r="B99" s="500" t="s">
        <v>402</v>
      </c>
      <c r="C99" s="500"/>
      <c r="D99" s="500"/>
      <c r="E99" s="500"/>
      <c r="F99" s="500"/>
      <c r="G99" s="500"/>
      <c r="H99" s="500"/>
      <c r="I99" s="500"/>
      <c r="J99" s="500"/>
      <c r="K99" s="500"/>
      <c r="L99" s="359"/>
      <c r="M99" s="359"/>
      <c r="N99" s="359"/>
      <c r="O99" s="359"/>
      <c r="P99" s="359"/>
      <c r="Q99" s="359"/>
      <c r="R99" s="359"/>
      <c r="S99" s="359"/>
      <c r="T99" s="359"/>
      <c r="U99" s="359"/>
      <c r="V99" s="359"/>
    </row>
    <row r="100" spans="1:22" s="533" customFormat="1" ht="15" x14ac:dyDescent="0.25">
      <c r="A100" s="500" t="s">
        <v>82</v>
      </c>
      <c r="B100" s="500" t="s">
        <v>543</v>
      </c>
      <c r="C100" s="500"/>
      <c r="D100" s="500"/>
      <c r="E100" s="500"/>
      <c r="F100" s="500"/>
      <c r="G100" s="500"/>
      <c r="H100" s="500"/>
      <c r="I100" s="500"/>
      <c r="J100" s="500"/>
      <c r="K100" s="500"/>
      <c r="L100" s="359"/>
      <c r="M100" s="359"/>
      <c r="N100" s="359"/>
      <c r="O100" s="359"/>
      <c r="P100" s="359"/>
      <c r="Q100" s="359"/>
      <c r="R100" s="359"/>
      <c r="S100" s="359"/>
      <c r="T100" s="359"/>
      <c r="U100" s="359"/>
      <c r="V100" s="359"/>
    </row>
    <row r="101" spans="1:22" s="533" customFormat="1" ht="15" x14ac:dyDescent="0.25">
      <c r="A101" s="500" t="s">
        <v>83</v>
      </c>
      <c r="B101" s="500" t="s">
        <v>411</v>
      </c>
      <c r="C101" s="500"/>
      <c r="D101" s="500"/>
      <c r="E101" s="500"/>
      <c r="F101" s="500"/>
      <c r="G101" s="500"/>
      <c r="H101" s="500"/>
      <c r="I101" s="500"/>
      <c r="J101" s="500"/>
      <c r="K101" s="500"/>
      <c r="L101" s="359"/>
      <c r="M101" s="359"/>
      <c r="N101" s="359"/>
      <c r="O101" s="359"/>
      <c r="P101" s="359"/>
      <c r="Q101" s="359"/>
      <c r="R101" s="359"/>
      <c r="S101" s="359"/>
      <c r="T101" s="359"/>
      <c r="U101" s="359"/>
      <c r="V101" s="359"/>
    </row>
    <row r="102" spans="1:22" ht="15" x14ac:dyDescent="0.25">
      <c r="A102" s="442"/>
      <c r="B102" s="442"/>
      <c r="C102" s="442"/>
      <c r="D102" s="442"/>
      <c r="E102" s="442"/>
      <c r="F102" s="442"/>
      <c r="G102" s="442"/>
      <c r="H102" s="442"/>
      <c r="I102" s="442"/>
      <c r="J102" s="442"/>
      <c r="K102" s="442"/>
      <c r="L102" s="359"/>
      <c r="M102" s="359"/>
      <c r="N102" s="359"/>
      <c r="O102" s="359"/>
      <c r="P102" s="359"/>
      <c r="Q102" s="359"/>
      <c r="R102" s="359"/>
      <c r="S102" s="359"/>
      <c r="T102" s="359"/>
      <c r="U102" s="359"/>
      <c r="V102" s="359"/>
    </row>
    <row r="103" spans="1:22" ht="15" x14ac:dyDescent="0.25">
      <c r="A103" s="394" t="s">
        <v>283</v>
      </c>
      <c r="B103" s="442"/>
      <c r="C103" s="442"/>
      <c r="D103" s="442"/>
      <c r="E103" s="442"/>
      <c r="F103" s="442"/>
      <c r="G103" s="442"/>
      <c r="H103" s="442"/>
      <c r="I103" s="442"/>
      <c r="J103" s="442"/>
      <c r="K103" s="442"/>
      <c r="L103" s="359"/>
      <c r="M103" s="359"/>
      <c r="N103" s="359"/>
      <c r="O103" s="359"/>
      <c r="P103" s="359"/>
      <c r="Q103" s="359"/>
      <c r="R103" s="359"/>
      <c r="S103" s="359"/>
      <c r="T103" s="359"/>
      <c r="U103" s="359"/>
      <c r="V103" s="359"/>
    </row>
    <row r="104" spans="1:22" ht="15" x14ac:dyDescent="0.25">
      <c r="A104" s="442" t="s">
        <v>78</v>
      </c>
      <c r="B104" s="442" t="s">
        <v>544</v>
      </c>
      <c r="C104" s="442"/>
      <c r="D104" s="442"/>
      <c r="E104" s="442"/>
      <c r="F104" s="442"/>
      <c r="G104" s="442"/>
      <c r="H104" s="442"/>
      <c r="I104" s="442"/>
      <c r="J104" s="442"/>
      <c r="K104" s="442"/>
    </row>
    <row r="105" spans="1:22" ht="15" x14ac:dyDescent="0.25">
      <c r="A105" s="442" t="s">
        <v>79</v>
      </c>
      <c r="B105" s="500" t="s">
        <v>544</v>
      </c>
      <c r="C105" s="442"/>
      <c r="D105" s="442"/>
      <c r="E105" s="442"/>
      <c r="F105" s="442"/>
      <c r="G105" s="442"/>
      <c r="H105" s="442"/>
      <c r="I105" s="442"/>
      <c r="J105" s="442"/>
      <c r="K105" s="442"/>
    </row>
    <row r="106" spans="1:22" ht="15" x14ac:dyDescent="0.25">
      <c r="A106" s="442" t="s">
        <v>80</v>
      </c>
      <c r="B106" s="500" t="s">
        <v>544</v>
      </c>
      <c r="C106" s="442"/>
      <c r="D106" s="442"/>
      <c r="E106" s="442"/>
      <c r="F106" s="442"/>
      <c r="G106" s="442"/>
      <c r="H106" s="442"/>
      <c r="I106" s="442"/>
      <c r="J106" s="442"/>
      <c r="K106" s="442"/>
    </row>
    <row r="107" spans="1:22" ht="15" x14ac:dyDescent="0.25">
      <c r="A107" s="442" t="s">
        <v>81</v>
      </c>
      <c r="B107" s="500" t="s">
        <v>544</v>
      </c>
      <c r="C107" s="442"/>
      <c r="D107" s="442"/>
      <c r="E107" s="442"/>
      <c r="F107" s="442"/>
      <c r="G107" s="442"/>
      <c r="H107" s="442"/>
      <c r="I107" s="442"/>
      <c r="J107" s="442"/>
      <c r="K107" s="442"/>
    </row>
    <row r="108" spans="1:22" x14ac:dyDescent="0.3">
      <c r="A108" s="442" t="s">
        <v>82</v>
      </c>
      <c r="B108" s="500" t="s">
        <v>544</v>
      </c>
      <c r="C108" s="442"/>
      <c r="D108" s="442"/>
      <c r="E108" s="442"/>
      <c r="F108" s="442"/>
      <c r="G108" s="442"/>
      <c r="H108" s="442"/>
      <c r="I108" s="442"/>
      <c r="J108" s="442"/>
      <c r="K108" s="442"/>
    </row>
    <row r="109" spans="1:22" x14ac:dyDescent="0.3">
      <c r="A109" s="442" t="s">
        <v>83</v>
      </c>
      <c r="B109" s="500" t="s">
        <v>544</v>
      </c>
      <c r="C109" s="442"/>
      <c r="D109" s="442"/>
      <c r="E109" s="442"/>
      <c r="F109" s="442"/>
      <c r="G109" s="442"/>
      <c r="H109" s="442"/>
      <c r="I109" s="442"/>
      <c r="J109" s="442"/>
      <c r="K109" s="442"/>
    </row>
    <row r="110" spans="1:22" x14ac:dyDescent="0.3">
      <c r="A110" s="442"/>
      <c r="B110" s="442"/>
      <c r="C110" s="442"/>
      <c r="D110" s="442"/>
      <c r="E110" s="442"/>
      <c r="F110" s="442"/>
      <c r="G110" s="442"/>
      <c r="H110" s="442"/>
      <c r="I110" s="442"/>
      <c r="J110" s="442"/>
      <c r="K110" s="442"/>
    </row>
    <row r="111" spans="1:22" x14ac:dyDescent="0.3">
      <c r="A111" s="442"/>
      <c r="B111" s="442"/>
      <c r="C111" s="442"/>
      <c r="D111" s="442"/>
      <c r="E111" s="442"/>
      <c r="F111" s="442"/>
      <c r="G111" s="442"/>
      <c r="H111" s="442"/>
      <c r="I111" s="442"/>
      <c r="J111" s="442"/>
      <c r="K111" s="44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70" zoomScaleNormal="70" workbookViewId="0">
      <selection activeCell="F9" sqref="F9"/>
    </sheetView>
  </sheetViews>
  <sheetFormatPr defaultRowHeight="14.4" x14ac:dyDescent="0.3"/>
  <cols>
    <col min="1" max="1" width="5.5546875" customWidth="1"/>
  </cols>
  <sheetData>
    <row r="1" spans="1:2" x14ac:dyDescent="0.25">
      <c r="A1" s="60" t="s">
        <v>192</v>
      </c>
    </row>
    <row r="3" spans="1:2" s="317" customFormat="1" x14ac:dyDescent="0.25">
      <c r="A3" s="241" t="s">
        <v>170</v>
      </c>
    </row>
    <row r="4" spans="1:2" s="317" customFormat="1" x14ac:dyDescent="0.25">
      <c r="A4" s="317">
        <v>1.8</v>
      </c>
      <c r="B4" s="317" t="s">
        <v>287</v>
      </c>
    </row>
    <row r="5" spans="1:2" s="317" customFormat="1" x14ac:dyDescent="0.25">
      <c r="B5" s="317" t="s">
        <v>194</v>
      </c>
    </row>
    <row r="7" spans="1:2" x14ac:dyDescent="0.25">
      <c r="A7" s="467" t="s">
        <v>283</v>
      </c>
    </row>
    <row r="9" spans="1:2" x14ac:dyDescent="0.25">
      <c r="A9">
        <v>1.8</v>
      </c>
      <c r="B9" t="s">
        <v>546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70" zoomScaleNormal="70" workbookViewId="0">
      <selection activeCell="J12" sqref="J12"/>
    </sheetView>
  </sheetViews>
  <sheetFormatPr defaultRowHeight="14.4" x14ac:dyDescent="0.3"/>
  <sheetData>
    <row r="1" spans="1:3" x14ac:dyDescent="0.25">
      <c r="A1" s="60" t="s">
        <v>193</v>
      </c>
    </row>
    <row r="3" spans="1:3" s="317" customFormat="1" x14ac:dyDescent="0.25">
      <c r="A3" s="241" t="s">
        <v>170</v>
      </c>
    </row>
    <row r="4" spans="1:3" s="317" customFormat="1" x14ac:dyDescent="0.25">
      <c r="A4" s="317">
        <v>1.9</v>
      </c>
      <c r="B4" s="317" t="s">
        <v>288</v>
      </c>
    </row>
    <row r="5" spans="1:3" s="317" customFormat="1" x14ac:dyDescent="0.25">
      <c r="B5" s="317" t="s">
        <v>256</v>
      </c>
    </row>
    <row r="7" spans="1:3" x14ac:dyDescent="0.25">
      <c r="A7" s="467" t="s">
        <v>283</v>
      </c>
    </row>
    <row r="9" spans="1:3" x14ac:dyDescent="0.25">
      <c r="A9">
        <v>1.9</v>
      </c>
      <c r="B9" s="533" t="s">
        <v>546</v>
      </c>
    </row>
    <row r="11" spans="1:3" x14ac:dyDescent="0.25">
      <c r="A11" s="467"/>
      <c r="B11" s="465"/>
      <c r="C11" s="465"/>
    </row>
    <row r="12" spans="1:3" x14ac:dyDescent="0.25">
      <c r="A12" s="465"/>
      <c r="B12" s="466"/>
      <c r="C12" s="468"/>
    </row>
    <row r="13" spans="1:3" x14ac:dyDescent="0.25">
      <c r="A13" s="465"/>
      <c r="B13" s="465"/>
      <c r="C13" s="465"/>
    </row>
    <row r="14" spans="1:3" x14ac:dyDescent="0.25">
      <c r="B14" s="465"/>
      <c r="C14" s="465"/>
    </row>
    <row r="15" spans="1:3" x14ac:dyDescent="0.25">
      <c r="A15" s="465"/>
      <c r="B15" s="466"/>
      <c r="C15" s="46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0"/>
  <sheetViews>
    <sheetView zoomScale="70" zoomScaleNormal="70" workbookViewId="0">
      <selection activeCell="G33" sqref="G33"/>
    </sheetView>
  </sheetViews>
  <sheetFormatPr defaultRowHeight="14.4" x14ac:dyDescent="0.3"/>
  <cols>
    <col min="1" max="1" width="7" customWidth="1"/>
    <col min="2" max="2" width="11.6640625" customWidth="1"/>
    <col min="3" max="3" width="14.33203125" customWidth="1"/>
    <col min="4" max="4" width="7.5546875" customWidth="1"/>
    <col min="5" max="5" width="13.44140625" bestFit="1" customWidth="1"/>
    <col min="6" max="6" width="17" customWidth="1"/>
    <col min="7" max="7" width="19.88671875" customWidth="1"/>
    <col min="8" max="8" width="16.88671875" customWidth="1"/>
  </cols>
  <sheetData>
    <row r="1" spans="1:8" x14ac:dyDescent="0.25">
      <c r="A1" s="60" t="s">
        <v>369</v>
      </c>
    </row>
    <row r="3" spans="1:8" x14ac:dyDescent="0.25">
      <c r="A3" s="60" t="s">
        <v>117</v>
      </c>
      <c r="D3" t="s">
        <v>68</v>
      </c>
      <c r="E3" s="47">
        <v>1</v>
      </c>
      <c r="F3" s="47">
        <v>10</v>
      </c>
      <c r="G3" s="47">
        <v>50</v>
      </c>
      <c r="H3" s="47">
        <v>100</v>
      </c>
    </row>
    <row r="4" spans="1:8" x14ac:dyDescent="0.25">
      <c r="B4">
        <v>2.1</v>
      </c>
      <c r="C4" t="s">
        <v>54</v>
      </c>
      <c r="E4" s="40">
        <f>('CBS (Total)'!J12+'CBS (Total)'!J24+'CBS (Total)'!J29+'CBS (Total)'!J44+'CBS (Total)'!J45+'CBS (Total)'!J18)*E6</f>
        <v>39126.926214054409</v>
      </c>
      <c r="F4" s="40">
        <f>('CBS (Total)'!L12+'CBS (Total)'!L24+'CBS (Total)'!L29+'CBS (Total)'!L44+'CBS (Total)'!L45+'CBS (Total)'!L18)*F6</f>
        <v>142551.9902533991</v>
      </c>
      <c r="G4" s="40">
        <f>('CBS (Total)'!N12+'CBS (Total)'!N24+'CBS (Total)'!N29+'CBS (Total)'!N44+'CBS (Total)'!N45+'CBS (Total)'!N18)*G6</f>
        <v>241457.51801888805</v>
      </c>
      <c r="H4" s="40">
        <f>('CBS (Total)'!P12+'CBS (Total)'!P24+'CBS (Total)'!P29+'CBS (Total)'!P44+'CBS (Total)'!P45+'CBS (Total)'!P18)*H6</f>
        <v>215492.9989473391</v>
      </c>
    </row>
    <row r="6" spans="1:8" x14ac:dyDescent="0.25">
      <c r="E6" s="45">
        <f>C9</f>
        <v>0.02</v>
      </c>
      <c r="F6" s="45">
        <f>C10</f>
        <v>0.02</v>
      </c>
      <c r="G6" s="45">
        <f>C11</f>
        <v>0.01</v>
      </c>
      <c r="H6" s="48">
        <f>C12</f>
        <v>5.0000000000000001E-3</v>
      </c>
    </row>
    <row r="8" spans="1:8" x14ac:dyDescent="0.25">
      <c r="A8" s="60" t="s">
        <v>87</v>
      </c>
    </row>
    <row r="9" spans="1:8" x14ac:dyDescent="0.25">
      <c r="B9" t="s">
        <v>98</v>
      </c>
      <c r="C9" s="19">
        <v>0.02</v>
      </c>
      <c r="D9" t="s">
        <v>102</v>
      </c>
    </row>
    <row r="10" spans="1:8" x14ac:dyDescent="0.25">
      <c r="B10" t="s">
        <v>99</v>
      </c>
      <c r="C10" s="19">
        <v>0.02</v>
      </c>
    </row>
    <row r="11" spans="1:8" x14ac:dyDescent="0.25">
      <c r="B11" t="s">
        <v>101</v>
      </c>
      <c r="C11" s="19">
        <v>0.01</v>
      </c>
    </row>
    <row r="12" spans="1:8" x14ac:dyDescent="0.25">
      <c r="B12" t="s">
        <v>100</v>
      </c>
      <c r="C12" s="23">
        <v>5.0000000000000001E-3</v>
      </c>
      <c r="D12" t="s">
        <v>103</v>
      </c>
    </row>
    <row r="14" spans="1:8" s="317" customFormat="1" x14ac:dyDescent="0.25">
      <c r="A14" s="241" t="s">
        <v>170</v>
      </c>
    </row>
    <row r="15" spans="1:8" s="317" customFormat="1" x14ac:dyDescent="0.25">
      <c r="A15" s="317">
        <v>2.1</v>
      </c>
      <c r="B15" s="317" t="s">
        <v>289</v>
      </c>
    </row>
    <row r="16" spans="1:8" s="317" customFormat="1" x14ac:dyDescent="0.25">
      <c r="B16" s="317" t="s">
        <v>290</v>
      </c>
    </row>
    <row r="17" spans="1:2" s="317" customFormat="1" x14ac:dyDescent="0.25">
      <c r="B17" s="317" t="s">
        <v>291</v>
      </c>
    </row>
    <row r="18" spans="1:2" s="317" customFormat="1" x14ac:dyDescent="0.25"/>
    <row r="19" spans="1:2" s="317" customFormat="1" x14ac:dyDescent="0.25">
      <c r="A19" s="241" t="s">
        <v>283</v>
      </c>
    </row>
    <row r="20" spans="1:2" s="317" customFormat="1" x14ac:dyDescent="0.25">
      <c r="A20" s="317">
        <v>2.1</v>
      </c>
      <c r="B20" s="317" t="s">
        <v>292</v>
      </c>
    </row>
  </sheetData>
  <pageMargins left="0.7" right="0.7" top="0.75" bottom="0.75" header="0.3" footer="0.3"/>
  <pageSetup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23"/>
  <sheetViews>
    <sheetView zoomScale="70" zoomScaleNormal="70" workbookViewId="0">
      <selection activeCell="C20" sqref="C20"/>
    </sheetView>
  </sheetViews>
  <sheetFormatPr defaultRowHeight="14.4" x14ac:dyDescent="0.3"/>
  <cols>
    <col min="1" max="1" width="4.109375" customWidth="1"/>
    <col min="2" max="2" width="4.44140625" customWidth="1"/>
    <col min="3" max="3" width="55.44140625" customWidth="1"/>
    <col min="4" max="4" width="14.6640625" customWidth="1"/>
    <col min="5" max="7" width="14.109375" customWidth="1"/>
    <col min="8" max="8" width="15.33203125" customWidth="1"/>
    <col min="9" max="9" width="16.44140625" customWidth="1"/>
    <col min="10" max="10" width="25.44140625" customWidth="1"/>
    <col min="12" max="12" width="9.109375" style="317"/>
    <col min="13" max="13" width="21.88671875" customWidth="1"/>
    <col min="14" max="14" width="20.44140625" customWidth="1"/>
    <col min="15" max="15" width="14" customWidth="1"/>
  </cols>
  <sheetData>
    <row r="1" spans="1:20" ht="15" x14ac:dyDescent="0.25">
      <c r="A1" s="535" t="s">
        <v>370</v>
      </c>
    </row>
    <row r="2" spans="1:20" s="533" customFormat="1" ht="15" x14ac:dyDescent="0.25"/>
    <row r="3" spans="1:20" ht="15" x14ac:dyDescent="0.25">
      <c r="A3" s="60" t="s">
        <v>117</v>
      </c>
      <c r="B3" s="59"/>
      <c r="C3" s="59"/>
      <c r="E3" s="64">
        <v>1</v>
      </c>
      <c r="F3" s="64">
        <v>10</v>
      </c>
      <c r="G3" s="64">
        <v>50</v>
      </c>
      <c r="H3" s="64">
        <v>100</v>
      </c>
    </row>
    <row r="4" spans="1:20" ht="15" x14ac:dyDescent="0.25">
      <c r="A4" s="60"/>
      <c r="B4" s="636">
        <v>2.2000000000000002</v>
      </c>
      <c r="C4" s="59" t="s">
        <v>55</v>
      </c>
      <c r="E4" s="230">
        <f>E17</f>
        <v>127500</v>
      </c>
      <c r="F4" s="246">
        <f>F17</f>
        <v>174000</v>
      </c>
      <c r="G4" s="246">
        <f>G17</f>
        <v>174000</v>
      </c>
      <c r="H4" s="230">
        <f>G17</f>
        <v>174000</v>
      </c>
    </row>
    <row r="6" spans="1:20" ht="15" x14ac:dyDescent="0.25">
      <c r="H6" s="244"/>
      <c r="I6" s="244"/>
      <c r="J6" s="275"/>
      <c r="K6" s="275"/>
      <c r="L6" s="275"/>
      <c r="M6" s="275"/>
      <c r="N6" s="275"/>
      <c r="O6" s="244"/>
      <c r="P6" s="244"/>
      <c r="Q6" s="244"/>
      <c r="R6" s="244"/>
      <c r="S6" s="244"/>
      <c r="T6" s="244"/>
    </row>
    <row r="7" spans="1:20" ht="15" x14ac:dyDescent="0.25">
      <c r="H7" s="244"/>
      <c r="I7" s="244"/>
      <c r="J7" s="244"/>
      <c r="K7" s="275"/>
      <c r="L7" s="275"/>
      <c r="M7" s="275"/>
      <c r="N7" s="275"/>
      <c r="O7" s="244"/>
      <c r="P7" s="244"/>
      <c r="Q7" s="244"/>
      <c r="R7" s="244"/>
      <c r="S7" s="244"/>
      <c r="T7" s="244"/>
    </row>
    <row r="8" spans="1:20" ht="15" customHeight="1" x14ac:dyDescent="0.25">
      <c r="A8" s="228" t="s">
        <v>297</v>
      </c>
      <c r="C8" s="229"/>
      <c r="D8" s="243"/>
      <c r="E8" s="243" t="s">
        <v>91</v>
      </c>
      <c r="F8" s="255" t="s">
        <v>94</v>
      </c>
      <c r="G8" s="340" t="s">
        <v>293</v>
      </c>
      <c r="H8" s="334"/>
      <c r="I8" s="332"/>
      <c r="J8" s="678"/>
      <c r="K8" s="678"/>
      <c r="L8" s="678"/>
      <c r="M8" s="244"/>
      <c r="N8" s="244"/>
      <c r="O8" s="244"/>
      <c r="P8" s="244"/>
      <c r="Q8" s="244"/>
    </row>
    <row r="9" spans="1:20" ht="15" x14ac:dyDescent="0.25">
      <c r="A9" s="241"/>
      <c r="B9" s="53"/>
      <c r="C9" s="56"/>
      <c r="E9" s="317"/>
      <c r="F9" s="329"/>
      <c r="G9" s="333"/>
      <c r="H9" s="333"/>
      <c r="I9" s="327"/>
      <c r="J9" s="679"/>
      <c r="K9" s="679"/>
      <c r="L9" s="679"/>
      <c r="M9" s="244"/>
      <c r="N9" s="244"/>
      <c r="O9" s="244"/>
      <c r="P9" s="244"/>
      <c r="Q9" s="244"/>
    </row>
    <row r="10" spans="1:20" ht="15" customHeight="1" x14ac:dyDescent="0.25">
      <c r="A10" s="241"/>
      <c r="B10" s="53"/>
      <c r="C10" s="459" t="s">
        <v>315</v>
      </c>
      <c r="D10" s="65"/>
      <c r="E10" s="65">
        <v>52500</v>
      </c>
      <c r="F10" s="499">
        <v>52500</v>
      </c>
      <c r="G10" s="499">
        <v>52500</v>
      </c>
      <c r="H10" s="330"/>
      <c r="I10" s="330"/>
      <c r="J10" s="331"/>
      <c r="K10" s="331"/>
      <c r="L10" s="330"/>
      <c r="M10" s="244"/>
      <c r="N10" s="244"/>
      <c r="O10" s="244"/>
      <c r="P10" s="244"/>
      <c r="Q10" s="244"/>
    </row>
    <row r="11" spans="1:20" ht="15" x14ac:dyDescent="0.25">
      <c r="A11" s="241"/>
      <c r="B11" s="53"/>
      <c r="C11" s="459" t="s">
        <v>316</v>
      </c>
      <c r="D11" s="65"/>
      <c r="E11" s="65">
        <v>10000</v>
      </c>
      <c r="F11" s="499">
        <v>10000</v>
      </c>
      <c r="G11" s="499">
        <v>10000</v>
      </c>
      <c r="H11" s="330"/>
      <c r="I11" s="330"/>
      <c r="J11" s="330"/>
      <c r="K11" s="30"/>
      <c r="L11" s="49"/>
      <c r="M11" s="244"/>
      <c r="N11" s="244"/>
      <c r="O11" s="244"/>
      <c r="P11" s="244"/>
      <c r="Q11" s="244"/>
    </row>
    <row r="12" spans="1:20" ht="15" x14ac:dyDescent="0.25">
      <c r="A12" s="241"/>
      <c r="B12" s="53"/>
      <c r="C12" s="459" t="s">
        <v>317</v>
      </c>
      <c r="D12" s="65"/>
      <c r="E12" s="65">
        <v>5000</v>
      </c>
      <c r="F12" s="499">
        <v>5000</v>
      </c>
      <c r="G12" s="499">
        <v>5000</v>
      </c>
      <c r="H12" s="330"/>
      <c r="I12" s="330"/>
      <c r="J12" s="330"/>
      <c r="K12" s="30"/>
      <c r="L12" s="49"/>
      <c r="M12" s="244"/>
      <c r="N12" s="244"/>
      <c r="O12" s="244"/>
      <c r="P12" s="244"/>
      <c r="Q12" s="244"/>
    </row>
    <row r="13" spans="1:20" s="448" customFormat="1" ht="15" x14ac:dyDescent="0.25">
      <c r="A13" s="453"/>
      <c r="B13" s="458"/>
      <c r="C13" s="459" t="s">
        <v>361</v>
      </c>
      <c r="D13" s="450"/>
      <c r="E13" s="450">
        <v>20000</v>
      </c>
      <c r="F13" s="499">
        <v>20000</v>
      </c>
      <c r="G13" s="499">
        <v>20000</v>
      </c>
      <c r="H13" s="435"/>
      <c r="I13" s="435"/>
      <c r="J13" s="435"/>
      <c r="K13" s="457"/>
      <c r="L13" s="456"/>
      <c r="M13" s="455"/>
      <c r="N13" s="455"/>
      <c r="O13" s="455"/>
      <c r="P13" s="455"/>
      <c r="Q13" s="455"/>
    </row>
    <row r="14" spans="1:20" ht="15" x14ac:dyDescent="0.25">
      <c r="A14" s="241"/>
      <c r="B14" s="53"/>
      <c r="C14" s="459" t="s">
        <v>133</v>
      </c>
      <c r="D14" s="65"/>
      <c r="E14" s="65">
        <v>40000</v>
      </c>
      <c r="F14" s="499">
        <v>40000</v>
      </c>
      <c r="G14" s="499">
        <v>40000</v>
      </c>
      <c r="H14" s="330"/>
      <c r="I14" s="330"/>
      <c r="J14" s="330"/>
      <c r="K14" s="30"/>
      <c r="L14" s="49"/>
      <c r="M14" s="244"/>
      <c r="N14" s="244"/>
      <c r="O14" s="244"/>
      <c r="P14" s="244"/>
      <c r="Q14" s="244"/>
    </row>
    <row r="15" spans="1:20" s="317" customFormat="1" ht="15" x14ac:dyDescent="0.25">
      <c r="A15" s="241"/>
      <c r="B15" s="53"/>
      <c r="C15" s="459" t="s">
        <v>296</v>
      </c>
      <c r="D15" s="65"/>
      <c r="E15" s="65"/>
      <c r="F15" s="450">
        <v>46500</v>
      </c>
      <c r="G15" s="499">
        <v>46500</v>
      </c>
      <c r="H15" s="330"/>
      <c r="I15" s="330"/>
      <c r="J15" s="330"/>
      <c r="K15" s="30"/>
      <c r="L15" s="49"/>
      <c r="M15" s="244"/>
      <c r="N15" s="244"/>
      <c r="O15" s="244"/>
      <c r="P15" s="244"/>
      <c r="Q15" s="244"/>
    </row>
    <row r="16" spans="1:20" s="317" customFormat="1" ht="15.75" x14ac:dyDescent="0.25">
      <c r="A16" s="241"/>
      <c r="B16" s="53"/>
      <c r="C16" s="328"/>
      <c r="D16" s="65"/>
      <c r="E16" s="65"/>
      <c r="F16" s="329"/>
      <c r="G16" s="331"/>
      <c r="H16" s="330"/>
      <c r="I16" s="330"/>
      <c r="J16" s="330"/>
      <c r="K16" s="30"/>
      <c r="L16" s="49"/>
      <c r="M16" s="244"/>
      <c r="N16" s="244"/>
      <c r="O16" s="244"/>
      <c r="P16" s="244"/>
      <c r="Q16" s="244"/>
    </row>
    <row r="17" spans="1:20" s="317" customFormat="1" ht="15" x14ac:dyDescent="0.25">
      <c r="A17" s="241"/>
      <c r="B17" s="39"/>
      <c r="C17" s="341" t="s">
        <v>86</v>
      </c>
      <c r="D17" s="238"/>
      <c r="E17" s="238">
        <f>SUM(E10:E15)</f>
        <v>127500</v>
      </c>
      <c r="F17" s="238">
        <f>SUM(F10:F15)</f>
        <v>174000</v>
      </c>
      <c r="G17" s="238">
        <f>SUM(G10:G15)</f>
        <v>174000</v>
      </c>
      <c r="H17" s="30"/>
      <c r="I17" s="30"/>
      <c r="J17" s="30"/>
      <c r="K17" s="30"/>
      <c r="L17" s="49"/>
      <c r="M17" s="244"/>
      <c r="N17" s="244"/>
      <c r="O17" s="244"/>
      <c r="P17" s="244"/>
      <c r="Q17" s="244"/>
    </row>
    <row r="18" spans="1:20" s="317" customFormat="1" ht="15" x14ac:dyDescent="0.25">
      <c r="A18" s="241"/>
      <c r="B18" s="39"/>
      <c r="C18" s="54"/>
      <c r="E18" s="329"/>
      <c r="F18" s="329"/>
      <c r="G18" s="408"/>
      <c r="H18" s="329"/>
      <c r="I18" s="30"/>
      <c r="J18" s="30"/>
      <c r="K18" s="30"/>
      <c r="L18" s="30"/>
      <c r="M18" s="30"/>
      <c r="N18" s="30"/>
      <c r="O18" s="49"/>
      <c r="P18" s="244"/>
      <c r="Q18" s="244"/>
      <c r="R18" s="244"/>
      <c r="S18" s="244"/>
      <c r="T18" s="244"/>
    </row>
    <row r="19" spans="1:20" ht="15" x14ac:dyDescent="0.25">
      <c r="A19" s="241" t="s">
        <v>170</v>
      </c>
      <c r="B19" s="317"/>
      <c r="C19" s="317"/>
      <c r="H19" s="244"/>
      <c r="I19" s="244"/>
      <c r="J19" s="244"/>
      <c r="K19" s="244"/>
      <c r="L19" s="244"/>
      <c r="M19" s="244"/>
      <c r="N19" s="244"/>
      <c r="O19" s="244"/>
      <c r="P19" s="244"/>
      <c r="Q19" s="244"/>
      <c r="R19" s="244"/>
      <c r="S19" s="244"/>
      <c r="T19" s="244"/>
    </row>
    <row r="20" spans="1:20" ht="15" x14ac:dyDescent="0.25">
      <c r="A20" s="317"/>
      <c r="B20" s="637">
        <v>2.2000000000000002</v>
      </c>
      <c r="C20" s="275" t="s">
        <v>298</v>
      </c>
      <c r="H20" s="244"/>
      <c r="I20" s="244"/>
      <c r="J20" s="244"/>
      <c r="K20" s="244"/>
      <c r="L20" s="244"/>
      <c r="M20" s="244"/>
      <c r="N20" s="244"/>
      <c r="O20" s="244"/>
      <c r="P20" s="244"/>
      <c r="Q20" s="244"/>
      <c r="R20" s="244"/>
      <c r="S20" s="244"/>
      <c r="T20" s="244"/>
    </row>
    <row r="21" spans="1:20" s="317" customFormat="1" ht="15" x14ac:dyDescent="0.25"/>
    <row r="22" spans="1:20" ht="15" x14ac:dyDescent="0.25">
      <c r="A22" s="241" t="s">
        <v>283</v>
      </c>
      <c r="B22" s="317"/>
      <c r="C22" s="317"/>
    </row>
    <row r="23" spans="1:20" ht="15" x14ac:dyDescent="0.25">
      <c r="B23" s="637">
        <v>2.2000000000000002</v>
      </c>
      <c r="C23" s="317" t="s">
        <v>300</v>
      </c>
    </row>
  </sheetData>
  <mergeCells count="2">
    <mergeCell ref="J8:L8"/>
    <mergeCell ref="J9:L9"/>
  </mergeCells>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68"/>
  <sheetViews>
    <sheetView zoomScale="70" zoomScaleNormal="70" workbookViewId="0">
      <selection activeCell="B1" sqref="B1"/>
    </sheetView>
  </sheetViews>
  <sheetFormatPr defaultRowHeight="14.4" x14ac:dyDescent="0.3"/>
  <cols>
    <col min="1" max="1" width="7.6640625" customWidth="1"/>
    <col min="2" max="2" width="37.44140625" customWidth="1"/>
    <col min="3" max="3" width="31.6640625" customWidth="1"/>
    <col min="4" max="4" width="18" bestFit="1" customWidth="1"/>
    <col min="5" max="6" width="14.5546875" customWidth="1"/>
    <col min="7" max="7" width="17.109375" customWidth="1"/>
    <col min="8" max="8" width="20.109375" customWidth="1"/>
    <col min="11" max="11" width="17.33203125" customWidth="1"/>
    <col min="12" max="12" width="25.6640625" customWidth="1"/>
    <col min="13" max="13" width="22.33203125" customWidth="1"/>
  </cols>
  <sheetData>
    <row r="1" spans="1:8" s="59" customFormat="1" ht="15" x14ac:dyDescent="0.25">
      <c r="A1" s="535" t="s">
        <v>371</v>
      </c>
    </row>
    <row r="2" spans="1:8" s="533" customFormat="1" ht="15" x14ac:dyDescent="0.25"/>
    <row r="3" spans="1:8" s="59" customFormat="1" ht="15" x14ac:dyDescent="0.25">
      <c r="A3" s="60" t="s">
        <v>117</v>
      </c>
    </row>
    <row r="4" spans="1:8" s="59" customFormat="1" ht="15" x14ac:dyDescent="0.25">
      <c r="D4" s="59" t="s">
        <v>68</v>
      </c>
      <c r="E4" s="59">
        <v>1</v>
      </c>
      <c r="F4" s="59">
        <v>10</v>
      </c>
      <c r="G4" s="59">
        <v>50</v>
      </c>
      <c r="H4" s="59">
        <v>100</v>
      </c>
    </row>
    <row r="5" spans="1:8" ht="15" x14ac:dyDescent="0.25">
      <c r="B5">
        <v>2.2999999999999998</v>
      </c>
      <c r="C5" t="s">
        <v>56</v>
      </c>
      <c r="E5" s="42">
        <f>C59</f>
        <v>7080</v>
      </c>
      <c r="F5" s="598">
        <f t="shared" ref="F5:H5" si="0">D59</f>
        <v>70800</v>
      </c>
      <c r="G5" s="598">
        <f t="shared" si="0"/>
        <v>354000</v>
      </c>
      <c r="H5" s="598">
        <f t="shared" si="0"/>
        <v>708000</v>
      </c>
    </row>
    <row r="6" spans="1:8" s="533" customFormat="1" ht="15" x14ac:dyDescent="0.25">
      <c r="E6" s="598"/>
      <c r="F6" s="598"/>
      <c r="G6" s="598"/>
      <c r="H6" s="598"/>
    </row>
    <row r="7" spans="1:8" s="533" customFormat="1" ht="15" x14ac:dyDescent="0.25">
      <c r="A7" s="494" t="s">
        <v>459</v>
      </c>
      <c r="E7" s="598"/>
      <c r="F7" s="598"/>
      <c r="G7" s="598"/>
      <c r="H7" s="598"/>
    </row>
    <row r="8" spans="1:8" s="533" customFormat="1" ht="15" x14ac:dyDescent="0.25">
      <c r="A8" s="533" t="s">
        <v>412</v>
      </c>
    </row>
    <row r="9" spans="1:8" s="533" customFormat="1" ht="15" x14ac:dyDescent="0.25">
      <c r="B9" s="533" t="s">
        <v>413</v>
      </c>
    </row>
    <row r="10" spans="1:8" s="533" customFormat="1" ht="15" x14ac:dyDescent="0.25">
      <c r="B10" s="533" t="s">
        <v>414</v>
      </c>
    </row>
    <row r="11" spans="1:8" s="533" customFormat="1" ht="15" x14ac:dyDescent="0.25">
      <c r="B11" s="533" t="s">
        <v>415</v>
      </c>
    </row>
    <row r="12" spans="1:8" s="533" customFormat="1" ht="15" x14ac:dyDescent="0.25">
      <c r="B12" s="533" t="s">
        <v>416</v>
      </c>
    </row>
    <row r="13" spans="1:8" s="533" customFormat="1" ht="15" x14ac:dyDescent="0.25">
      <c r="B13" s="533" t="s">
        <v>417</v>
      </c>
    </row>
    <row r="14" spans="1:8" s="533" customFormat="1" ht="15" x14ac:dyDescent="0.25">
      <c r="A14" s="533" t="s">
        <v>418</v>
      </c>
    </row>
    <row r="15" spans="1:8" s="533" customFormat="1" ht="15" x14ac:dyDescent="0.25">
      <c r="B15" s="533" t="s">
        <v>419</v>
      </c>
    </row>
    <row r="16" spans="1:8" s="533" customFormat="1" ht="15" x14ac:dyDescent="0.25">
      <c r="B16" s="533" t="s">
        <v>420</v>
      </c>
    </row>
    <row r="17" spans="1:2" s="533" customFormat="1" ht="15" x14ac:dyDescent="0.25">
      <c r="B17" s="533" t="s">
        <v>421</v>
      </c>
    </row>
    <row r="18" spans="1:2" s="533" customFormat="1" ht="15" x14ac:dyDescent="0.25">
      <c r="B18" s="533" t="s">
        <v>422</v>
      </c>
    </row>
    <row r="19" spans="1:2" s="533" customFormat="1" ht="15" x14ac:dyDescent="0.25">
      <c r="B19" s="533" t="s">
        <v>423</v>
      </c>
    </row>
    <row r="20" spans="1:2" s="533" customFormat="1" ht="15" x14ac:dyDescent="0.25">
      <c r="A20" s="533" t="s">
        <v>424</v>
      </c>
    </row>
    <row r="21" spans="1:2" s="533" customFormat="1" ht="15" x14ac:dyDescent="0.25">
      <c r="B21" s="533" t="s">
        <v>425</v>
      </c>
    </row>
    <row r="22" spans="1:2" s="533" customFormat="1" ht="15" x14ac:dyDescent="0.25">
      <c r="B22" s="533" t="s">
        <v>414</v>
      </c>
    </row>
    <row r="23" spans="1:2" s="533" customFormat="1" ht="15" x14ac:dyDescent="0.25">
      <c r="B23" s="533" t="s">
        <v>426</v>
      </c>
    </row>
    <row r="24" spans="1:2" s="533" customFormat="1" ht="15" x14ac:dyDescent="0.25">
      <c r="B24" s="533" t="s">
        <v>427</v>
      </c>
    </row>
    <row r="25" spans="1:2" s="533" customFormat="1" ht="15" x14ac:dyDescent="0.25">
      <c r="B25" s="533" t="s">
        <v>428</v>
      </c>
    </row>
    <row r="26" spans="1:2" s="533" customFormat="1" ht="15" x14ac:dyDescent="0.25">
      <c r="B26" s="533" t="s">
        <v>429</v>
      </c>
    </row>
    <row r="27" spans="1:2" s="533" customFormat="1" ht="15" x14ac:dyDescent="0.25">
      <c r="B27" s="533" t="s">
        <v>430</v>
      </c>
    </row>
    <row r="28" spans="1:2" s="533" customFormat="1" ht="15" x14ac:dyDescent="0.25">
      <c r="B28" s="533" t="s">
        <v>431</v>
      </c>
    </row>
    <row r="29" spans="1:2" s="533" customFormat="1" ht="15" x14ac:dyDescent="0.25">
      <c r="B29" s="533" t="s">
        <v>432</v>
      </c>
    </row>
    <row r="30" spans="1:2" s="533" customFormat="1" ht="15" x14ac:dyDescent="0.25">
      <c r="B30" s="533" t="s">
        <v>433</v>
      </c>
    </row>
    <row r="31" spans="1:2" s="533" customFormat="1" ht="15" x14ac:dyDescent="0.25">
      <c r="B31" s="533" t="s">
        <v>434</v>
      </c>
    </row>
    <row r="32" spans="1:2" s="533" customFormat="1" ht="15" x14ac:dyDescent="0.25">
      <c r="B32" s="533" t="s">
        <v>435</v>
      </c>
    </row>
    <row r="33" spans="1:8" s="533" customFormat="1" ht="15" x14ac:dyDescent="0.25">
      <c r="B33" s="533" t="s">
        <v>436</v>
      </c>
    </row>
    <row r="34" spans="1:8" s="533" customFormat="1" ht="15" x14ac:dyDescent="0.25">
      <c r="B34" s="533" t="s">
        <v>461</v>
      </c>
    </row>
    <row r="35" spans="1:8" s="533" customFormat="1" ht="15" x14ac:dyDescent="0.25"/>
    <row r="36" spans="1:8" s="533" customFormat="1" ht="15" x14ac:dyDescent="0.25">
      <c r="A36" s="533" t="s">
        <v>437</v>
      </c>
    </row>
    <row r="37" spans="1:8" s="533" customFormat="1" ht="15" x14ac:dyDescent="0.25">
      <c r="B37" s="533" t="s">
        <v>438</v>
      </c>
    </row>
    <row r="38" spans="1:8" s="533" customFormat="1" ht="15" x14ac:dyDescent="0.25">
      <c r="B38" s="533" t="s">
        <v>439</v>
      </c>
    </row>
    <row r="39" spans="1:8" s="533" customFormat="1" ht="15" x14ac:dyDescent="0.25">
      <c r="B39" s="533" t="s">
        <v>440</v>
      </c>
    </row>
    <row r="40" spans="1:8" s="533" customFormat="1" ht="15" x14ac:dyDescent="0.25"/>
    <row r="41" spans="1:8" s="533" customFormat="1" ht="15" x14ac:dyDescent="0.25">
      <c r="B41" s="533" t="s">
        <v>441</v>
      </c>
      <c r="C41" s="533">
        <f>24+16+32/4</f>
        <v>48</v>
      </c>
      <c r="D41" s="533" t="s">
        <v>442</v>
      </c>
    </row>
    <row r="42" spans="1:8" s="533" customFormat="1" ht="15" x14ac:dyDescent="0.25">
      <c r="B42" s="533" t="s">
        <v>443</v>
      </c>
      <c r="C42" s="593">
        <f>1880*0.8/C41</f>
        <v>31.333333333333332</v>
      </c>
      <c r="E42" s="593"/>
    </row>
    <row r="43" spans="1:8" s="533" customFormat="1" ht="15" x14ac:dyDescent="0.25">
      <c r="B43" s="533" t="s">
        <v>447</v>
      </c>
      <c r="C43" s="593">
        <v>50</v>
      </c>
      <c r="D43" s="533" t="s">
        <v>156</v>
      </c>
      <c r="E43" s="593"/>
    </row>
    <row r="44" spans="1:8" s="533" customFormat="1" ht="15" x14ac:dyDescent="0.25">
      <c r="B44" s="533" t="s">
        <v>444</v>
      </c>
      <c r="C44" s="376">
        <f>C42/20</f>
        <v>1.5666666666666667</v>
      </c>
      <c r="D44" s="533" t="s">
        <v>445</v>
      </c>
      <c r="E44" s="376"/>
    </row>
    <row r="45" spans="1:8" s="533" customFormat="1" ht="15" x14ac:dyDescent="0.25">
      <c r="B45" s="533" t="s">
        <v>446</v>
      </c>
      <c r="C45" s="533">
        <f>72*30*3</f>
        <v>6480</v>
      </c>
      <c r="D45" s="533" t="s">
        <v>454</v>
      </c>
      <c r="H45" s="598"/>
    </row>
    <row r="46" spans="1:8" s="533" customFormat="1" ht="15" x14ac:dyDescent="0.25">
      <c r="E46" s="598"/>
      <c r="F46" s="598"/>
      <c r="G46" s="598"/>
      <c r="H46" s="598"/>
    </row>
    <row r="47" spans="1:8" s="533" customFormat="1" ht="15" x14ac:dyDescent="0.25">
      <c r="A47" s="533" t="s">
        <v>451</v>
      </c>
      <c r="E47" s="598"/>
      <c r="F47" s="598"/>
      <c r="G47" s="598"/>
      <c r="H47" s="598"/>
    </row>
    <row r="48" spans="1:8" s="533" customFormat="1" ht="15" x14ac:dyDescent="0.25">
      <c r="B48" s="533" t="s">
        <v>448</v>
      </c>
      <c r="C48" s="489">
        <v>0</v>
      </c>
      <c r="D48" s="533" t="s">
        <v>505</v>
      </c>
      <c r="E48" s="598"/>
      <c r="F48" s="598"/>
      <c r="G48" s="598"/>
      <c r="H48" s="598"/>
    </row>
    <row r="49" spans="1:8" s="533" customFormat="1" ht="15" x14ac:dyDescent="0.25">
      <c r="B49" s="533" t="s">
        <v>449</v>
      </c>
      <c r="C49" s="454">
        <v>0.1</v>
      </c>
      <c r="E49" s="598"/>
      <c r="F49" s="598"/>
      <c r="G49" s="598"/>
      <c r="H49" s="598"/>
    </row>
    <row r="50" spans="1:8" s="533" customFormat="1" ht="15" x14ac:dyDescent="0.25">
      <c r="B50" s="533" t="s">
        <v>450</v>
      </c>
      <c r="C50" s="533">
        <v>10</v>
      </c>
      <c r="D50" s="533" t="s">
        <v>452</v>
      </c>
      <c r="E50" s="598"/>
      <c r="F50" s="598"/>
      <c r="G50" s="598"/>
      <c r="H50" s="598"/>
    </row>
    <row r="51" spans="1:8" s="533" customFormat="1" ht="15" x14ac:dyDescent="0.25">
      <c r="B51" s="533" t="s">
        <v>460</v>
      </c>
      <c r="C51" s="489">
        <f>ABS(PMT(C49,C50,C48))</f>
        <v>0</v>
      </c>
      <c r="E51" s="598"/>
      <c r="F51" s="598"/>
      <c r="G51" s="598"/>
      <c r="H51" s="598"/>
    </row>
    <row r="52" spans="1:8" s="533" customFormat="1" ht="15" x14ac:dyDescent="0.25">
      <c r="B52" s="533" t="s">
        <v>453</v>
      </c>
      <c r="C52" s="489">
        <v>100</v>
      </c>
      <c r="D52" s="66" t="s">
        <v>458</v>
      </c>
      <c r="E52" s="598"/>
      <c r="F52" s="598"/>
      <c r="G52" s="598"/>
      <c r="H52" s="598"/>
    </row>
    <row r="53" spans="1:8" s="533" customFormat="1" ht="15" x14ac:dyDescent="0.25">
      <c r="C53" s="489"/>
      <c r="E53" s="598"/>
      <c r="F53" s="598"/>
      <c r="G53" s="598"/>
      <c r="H53" s="598"/>
    </row>
    <row r="54" spans="1:8" s="533" customFormat="1" ht="15" x14ac:dyDescent="0.25">
      <c r="A54" s="533" t="s">
        <v>455</v>
      </c>
      <c r="C54" s="624"/>
      <c r="E54" s="598"/>
      <c r="F54" s="598"/>
      <c r="G54" s="598"/>
      <c r="H54" s="598"/>
    </row>
    <row r="55" spans="1:8" s="533" customFormat="1" ht="15" x14ac:dyDescent="0.25">
      <c r="B55" s="533" t="s">
        <v>456</v>
      </c>
      <c r="C55" s="489">
        <v>24000</v>
      </c>
      <c r="D55" s="533" t="s">
        <v>457</v>
      </c>
      <c r="E55" s="598"/>
      <c r="F55" s="598"/>
      <c r="G55" s="598"/>
      <c r="H55" s="598"/>
    </row>
    <row r="56" spans="1:8" s="533" customFormat="1" ht="15" x14ac:dyDescent="0.25">
      <c r="B56" s="533" t="s">
        <v>18</v>
      </c>
      <c r="C56" s="624">
        <f>30%*C55</f>
        <v>7200</v>
      </c>
      <c r="E56" s="598"/>
      <c r="F56" s="598"/>
      <c r="G56" s="598"/>
      <c r="H56" s="598"/>
    </row>
    <row r="57" spans="1:8" s="533" customFormat="1" ht="15" x14ac:dyDescent="0.25">
      <c r="C57" s="624"/>
      <c r="E57" s="598"/>
      <c r="F57" s="598"/>
      <c r="G57" s="598"/>
      <c r="H57" s="598"/>
    </row>
    <row r="58" spans="1:8" s="534" customFormat="1" x14ac:dyDescent="0.3">
      <c r="C58" s="626">
        <v>1</v>
      </c>
      <c r="D58" s="626">
        <v>10</v>
      </c>
      <c r="E58" s="626">
        <v>50</v>
      </c>
      <c r="F58" s="626">
        <v>100</v>
      </c>
      <c r="G58" s="546"/>
      <c r="H58" s="546"/>
    </row>
    <row r="59" spans="1:8" s="533" customFormat="1" x14ac:dyDescent="0.3">
      <c r="A59" s="351" t="s">
        <v>86</v>
      </c>
      <c r="B59" s="351"/>
      <c r="C59" s="118">
        <f>C52*(C41/8)+C51+C45</f>
        <v>7080</v>
      </c>
      <c r="D59" s="118">
        <f>($C52*$C41/8*D58)+($C45*D58)</f>
        <v>70800</v>
      </c>
      <c r="E59" s="118">
        <f>($C52*$C41/8*E58)+($C45*E58)</f>
        <v>354000</v>
      </c>
      <c r="F59" s="118">
        <f>($C52*$C41/8*F58)+($C45*F58)</f>
        <v>708000</v>
      </c>
      <c r="G59" s="598"/>
      <c r="H59" s="598"/>
    </row>
    <row r="60" spans="1:8" s="533" customFormat="1" x14ac:dyDescent="0.3">
      <c r="A60" s="534"/>
      <c r="B60" s="534"/>
      <c r="C60" s="625"/>
      <c r="D60" s="534"/>
      <c r="E60" s="598"/>
      <c r="F60" s="598"/>
      <c r="G60" s="598"/>
      <c r="H60" s="598"/>
    </row>
    <row r="61" spans="1:8" s="533" customFormat="1" x14ac:dyDescent="0.3">
      <c r="E61" s="598"/>
      <c r="F61" s="598"/>
      <c r="G61" s="598"/>
      <c r="H61" s="598"/>
    </row>
    <row r="62" spans="1:8" s="533" customFormat="1" x14ac:dyDescent="0.3">
      <c r="E62" s="598"/>
      <c r="F62" s="598"/>
      <c r="G62" s="598"/>
      <c r="H62" s="598"/>
    </row>
    <row r="63" spans="1:8" x14ac:dyDescent="0.3">
      <c r="A63" s="467" t="s">
        <v>170</v>
      </c>
    </row>
    <row r="64" spans="1:8" x14ac:dyDescent="0.3">
      <c r="A64">
        <v>2.2999999999999998</v>
      </c>
      <c r="B64" t="s">
        <v>574</v>
      </c>
    </row>
    <row r="65" spans="1:2" x14ac:dyDescent="0.3">
      <c r="B65" t="s">
        <v>575</v>
      </c>
    </row>
    <row r="67" spans="1:2" x14ac:dyDescent="0.3">
      <c r="A67" s="467" t="s">
        <v>283</v>
      </c>
    </row>
    <row r="68" spans="1:2" x14ac:dyDescent="0.3">
      <c r="A68">
        <v>2.2999999999999998</v>
      </c>
      <c r="B68" s="533" t="s">
        <v>545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80"/>
  <sheetViews>
    <sheetView zoomScale="80" zoomScaleNormal="80" workbookViewId="0">
      <selection activeCell="H18" sqref="H18"/>
    </sheetView>
  </sheetViews>
  <sheetFormatPr defaultRowHeight="14.4" x14ac:dyDescent="0.3"/>
  <cols>
    <col min="1" max="1" width="35.6640625" customWidth="1"/>
    <col min="2" max="2" width="30.88671875" customWidth="1"/>
    <col min="3" max="3" width="21.33203125" customWidth="1"/>
    <col min="4" max="5" width="14.6640625" customWidth="1"/>
    <col min="6" max="7" width="12.6640625" customWidth="1"/>
    <col min="8" max="8" width="35.6640625" customWidth="1"/>
    <col min="9" max="14" width="12.6640625" customWidth="1"/>
  </cols>
  <sheetData>
    <row r="2" spans="1:14" ht="15" x14ac:dyDescent="0.25">
      <c r="A2" s="280" t="s">
        <v>261</v>
      </c>
      <c r="B2">
        <v>0</v>
      </c>
      <c r="C2" t="s">
        <v>262</v>
      </c>
      <c r="D2" s="275"/>
      <c r="E2" s="275"/>
    </row>
    <row r="3" spans="1:14" ht="15" x14ac:dyDescent="0.25">
      <c r="A3" s="275" t="s">
        <v>260</v>
      </c>
      <c r="B3" s="275">
        <v>1000</v>
      </c>
      <c r="C3" s="275"/>
      <c r="D3" s="273"/>
      <c r="E3" s="267"/>
    </row>
    <row r="4" spans="1:14" ht="15" x14ac:dyDescent="0.25">
      <c r="A4" s="265" t="str">
        <f>IF(B3=1,"Total Cost ($)",IF(B3=1000,"Total Cost in Thousands ($)",IF(B3=1000000,"Total Cost in Millions ($)","CostBasisnotspecified")))</f>
        <v>Total Cost in Thousands ($)</v>
      </c>
      <c r="B4" s="267"/>
      <c r="C4" s="267"/>
      <c r="D4" s="267"/>
      <c r="E4" s="267"/>
    </row>
    <row r="5" spans="1:14" x14ac:dyDescent="0.3">
      <c r="A5" s="666"/>
      <c r="B5" s="343" t="s">
        <v>105</v>
      </c>
      <c r="C5" s="344" t="s">
        <v>94</v>
      </c>
      <c r="D5" s="345" t="s">
        <v>95</v>
      </c>
      <c r="E5" s="343" t="s">
        <v>96</v>
      </c>
    </row>
    <row r="6" spans="1:14" x14ac:dyDescent="0.3">
      <c r="A6" s="667"/>
      <c r="B6" s="343" t="s">
        <v>85</v>
      </c>
      <c r="C6" s="343" t="s">
        <v>85</v>
      </c>
      <c r="D6" s="343" t="s">
        <v>85</v>
      </c>
      <c r="E6" s="343" t="s">
        <v>85</v>
      </c>
    </row>
    <row r="7" spans="1:14" ht="15" x14ac:dyDescent="0.25">
      <c r="A7" s="276" t="s">
        <v>107</v>
      </c>
      <c r="B7" s="277">
        <f>ROUND('CBS (Total)'!J4/B3,-B2)</f>
        <v>942</v>
      </c>
      <c r="C7" s="277">
        <f>ROUND('CBS (Total)'!L4/B3,-B2)</f>
        <v>1998</v>
      </c>
      <c r="D7" s="277">
        <f>ROUND('CBS (Total)'!N4/B3,-B2)</f>
        <v>2434</v>
      </c>
      <c r="E7" s="277">
        <f>ROUND('CBS (Total)'!P4/B3,-B2)</f>
        <v>2588</v>
      </c>
    </row>
    <row r="8" spans="1:14" ht="15" x14ac:dyDescent="0.25">
      <c r="A8" s="276" t="s">
        <v>10</v>
      </c>
      <c r="B8" s="277">
        <f>ROUND('CBS (Total)'!J12/B3,-B2)</f>
        <v>148</v>
      </c>
      <c r="C8" s="277">
        <f>ROUND('CBS (Total)'!L12/B3,-B2)</f>
        <v>219</v>
      </c>
      <c r="D8" s="277">
        <f>ROUND('CBS (Total)'!N12/B3,-B2)</f>
        <v>723</v>
      </c>
      <c r="E8" s="277">
        <f>ROUND('CBS (Total)'!P12/B3,-B2)</f>
        <v>1398</v>
      </c>
    </row>
    <row r="9" spans="1:14" ht="15" x14ac:dyDescent="0.25">
      <c r="A9" s="276" t="s">
        <v>19</v>
      </c>
      <c r="B9" s="277">
        <f>ROUND('CBS (Total)'!J18/B3,-B2)</f>
        <v>22</v>
      </c>
      <c r="C9" s="277">
        <f>ROUND('CBS (Total)'!L18/B3,-B2)</f>
        <v>217</v>
      </c>
      <c r="D9" s="277">
        <f>ROUND('CBS (Total)'!N18/B3,-B2)</f>
        <v>1085</v>
      </c>
      <c r="E9" s="277">
        <f>ROUND('CBS (Total)'!P18/B3,-B2)</f>
        <v>2170</v>
      </c>
    </row>
    <row r="10" spans="1:14" ht="15" x14ac:dyDescent="0.25">
      <c r="A10" s="276" t="s">
        <v>29</v>
      </c>
      <c r="B10" s="277">
        <f>ROUND('CBS (Total)'!J24/B3,-B2)</f>
        <v>296</v>
      </c>
      <c r="C10" s="277">
        <f>ROUND('CBS (Total)'!L24/B3,-B2)</f>
        <v>2074</v>
      </c>
      <c r="D10" s="277">
        <f>ROUND('CBS (Total)'!N24/B3,-B2)</f>
        <v>9101</v>
      </c>
      <c r="E10" s="277">
        <f>ROUND('CBS (Total)'!P24/B3,-B2)</f>
        <v>17602</v>
      </c>
    </row>
    <row r="11" spans="1:14" ht="15" x14ac:dyDescent="0.25">
      <c r="A11" s="276" t="s">
        <v>34</v>
      </c>
      <c r="B11" s="277">
        <f>ROUND('CBS (Total)'!J29/B3,-B2)</f>
        <v>847</v>
      </c>
      <c r="C11" s="277">
        <f>ROUND('CBS (Total)'!L29/B3,-B2)</f>
        <v>3372</v>
      </c>
      <c r="D11" s="277">
        <f>ROUND('CBS (Total)'!N29/B3,-B2)</f>
        <v>9793</v>
      </c>
      <c r="E11" s="277">
        <f>ROUND('CBS (Total)'!P29/B3,-B2)</f>
        <v>15887</v>
      </c>
    </row>
    <row r="12" spans="1:14" s="274" customFormat="1" ht="15" x14ac:dyDescent="0.25">
      <c r="A12" s="276" t="s">
        <v>77</v>
      </c>
      <c r="B12" s="277">
        <f>ROUND('CBS (Total)'!J44/B3,-B2)</f>
        <v>114</v>
      </c>
      <c r="C12" s="277">
        <f>ROUND('CBS (Total)'!L44/B3,-B2)</f>
        <v>545</v>
      </c>
      <c r="D12" s="277">
        <f>ROUND('CBS (Total)'!N44/B3,-B2)</f>
        <v>1889</v>
      </c>
      <c r="E12" s="277">
        <f>ROUND('CBS (Total)'!P44/B3,-B2)</f>
        <v>3349</v>
      </c>
    </row>
    <row r="13" spans="1:14" ht="15" x14ac:dyDescent="0.25">
      <c r="A13" s="276" t="s">
        <v>49</v>
      </c>
      <c r="B13" s="277">
        <f>ROUND('CBS (Total)'!J45/B3,-B2)</f>
        <v>530</v>
      </c>
      <c r="C13" s="277">
        <f>ROUND('CBS (Total)'!L45/B3,-B2)</f>
        <v>701</v>
      </c>
      <c r="D13" s="277">
        <f>ROUND('CBS (Total)'!N45/B3,-B2)</f>
        <v>1555</v>
      </c>
      <c r="E13" s="277">
        <f>ROUND('CBS (Total)'!P45/B3,-B2)</f>
        <v>2692</v>
      </c>
    </row>
    <row r="14" spans="1:14" ht="15" x14ac:dyDescent="0.25">
      <c r="A14" s="276" t="s">
        <v>161</v>
      </c>
      <c r="B14" s="277">
        <f>ROUND('CBS (Total)'!J53/B3,-B2)</f>
        <v>290</v>
      </c>
      <c r="C14" s="277">
        <f>ROUND('CBS (Total)'!L53/B3,-B2)</f>
        <v>913</v>
      </c>
      <c r="D14" s="277">
        <f>ROUND('CBS (Total)'!N53/B3,-B2)</f>
        <v>2658</v>
      </c>
      <c r="E14" s="277">
        <f>ROUND('CBS (Total)'!P53/B3,-B2)</f>
        <v>4569</v>
      </c>
    </row>
    <row r="15" spans="1:14" ht="15" x14ac:dyDescent="0.25">
      <c r="A15" s="276" t="s">
        <v>86</v>
      </c>
      <c r="B15" s="277">
        <f>SUM(B7:B14)</f>
        <v>3189</v>
      </c>
      <c r="C15" s="277">
        <f>SUM(C7:C14)</f>
        <v>10039</v>
      </c>
      <c r="D15" s="277">
        <f>SUM(D7:D14)</f>
        <v>29238</v>
      </c>
      <c r="E15" s="277">
        <f>SUM(E7:E14)</f>
        <v>50255</v>
      </c>
    </row>
    <row r="16" spans="1:14" s="278" customFormat="1" ht="15" x14ac:dyDescent="0.25">
      <c r="A16" s="266"/>
      <c r="B16" s="269"/>
      <c r="C16" s="269"/>
      <c r="D16" s="269"/>
      <c r="E16" s="269"/>
      <c r="J16" s="293"/>
      <c r="L16" s="293"/>
      <c r="N16" s="293"/>
    </row>
    <row r="17" spans="1:14" s="278" customFormat="1" ht="15" x14ac:dyDescent="0.25">
      <c r="A17" s="278" t="s">
        <v>261</v>
      </c>
      <c r="B17">
        <v>1</v>
      </c>
      <c r="C17" s="278" t="s">
        <v>262</v>
      </c>
      <c r="D17" s="269"/>
      <c r="E17" s="269"/>
      <c r="N17" s="293"/>
    </row>
    <row r="19" spans="1:14" s="278" customFormat="1" ht="15" x14ac:dyDescent="0.25">
      <c r="A19" s="302" t="s">
        <v>0</v>
      </c>
    </row>
    <row r="20" spans="1:14" ht="15" x14ac:dyDescent="0.25">
      <c r="A20" s="270"/>
      <c r="B20" s="343" t="s">
        <v>105</v>
      </c>
      <c r="C20" s="344" t="s">
        <v>94</v>
      </c>
      <c r="D20" s="345" t="s">
        <v>95</v>
      </c>
      <c r="E20" s="343" t="s">
        <v>96</v>
      </c>
    </row>
    <row r="21" spans="1:14" ht="15" x14ac:dyDescent="0.25">
      <c r="A21" s="268"/>
      <c r="B21" s="343" t="s">
        <v>263</v>
      </c>
      <c r="C21" s="343" t="s">
        <v>263</v>
      </c>
      <c r="D21" s="343" t="s">
        <v>263</v>
      </c>
      <c r="E21" s="343" t="s">
        <v>263</v>
      </c>
    </row>
    <row r="22" spans="1:14" ht="15" x14ac:dyDescent="0.25">
      <c r="A22" s="276" t="s">
        <v>107</v>
      </c>
      <c r="B22" s="279">
        <f>ROUND('CBS ($ per kW)'!J6,-B17)</f>
        <v>10520</v>
      </c>
      <c r="C22" s="279">
        <f>ROUND('CBS ($ per kW)'!L6,-B17)</f>
        <v>2230</v>
      </c>
      <c r="D22" s="279">
        <f>ROUND('CBS ($ per kW)'!N6,-B17)</f>
        <v>540</v>
      </c>
      <c r="E22" s="279">
        <f>ROUND('CBS ($ per kW)'!P6,-B17)</f>
        <v>290</v>
      </c>
    </row>
    <row r="23" spans="1:14" ht="15" x14ac:dyDescent="0.25">
      <c r="A23" s="276" t="s">
        <v>10</v>
      </c>
      <c r="B23" s="279">
        <f>ROUND('CBS ($ per kW)'!J14,-B17)</f>
        <v>1650</v>
      </c>
      <c r="C23" s="279">
        <f>ROUND('CBS ($ per kW)'!L14,-B17)</f>
        <v>240</v>
      </c>
      <c r="D23" s="279">
        <f>ROUND('CBS ($ per kW)'!N14,-B17)</f>
        <v>160</v>
      </c>
      <c r="E23" s="279">
        <f>ROUND('CBS ($ per kW)'!P14,-B17)</f>
        <v>160</v>
      </c>
    </row>
    <row r="24" spans="1:14" ht="15" x14ac:dyDescent="0.25">
      <c r="A24" s="276" t="s">
        <v>19</v>
      </c>
      <c r="B24" s="279">
        <f>ROUND('CBS ($ per kW)'!J20,-B17)</f>
        <v>240</v>
      </c>
      <c r="C24" s="279">
        <f>ROUND('CBS ($ per kW)'!L20,-B17)</f>
        <v>240</v>
      </c>
      <c r="D24" s="279">
        <f>ROUND('CBS ($ per kW)'!N20,-B17)</f>
        <v>240</v>
      </c>
      <c r="E24" s="279">
        <f>ROUND('CBS ($ per kW)'!P20,-B17)</f>
        <v>240</v>
      </c>
    </row>
    <row r="25" spans="1:14" ht="15" x14ac:dyDescent="0.25">
      <c r="A25" s="276" t="s">
        <v>29</v>
      </c>
      <c r="B25" s="279">
        <f>ROUND('CBS ($ per kW)'!J26,-B17)</f>
        <v>3300</v>
      </c>
      <c r="C25" s="279">
        <f>ROUND('CBS ($ per kW)'!L26,-B17)</f>
        <v>2320</v>
      </c>
      <c r="D25" s="279">
        <f>ROUND('CBS ($ per kW)'!N26,-B17)</f>
        <v>2030</v>
      </c>
      <c r="E25" s="279">
        <f>ROUND('CBS ($ per kW)'!P26,-B17)</f>
        <v>1970</v>
      </c>
    </row>
    <row r="26" spans="1:14" ht="15" x14ac:dyDescent="0.25">
      <c r="A26" s="276" t="s">
        <v>34</v>
      </c>
      <c r="B26" s="279">
        <f>ROUND('CBS ($ per kW)'!J31,-B17)</f>
        <v>9470</v>
      </c>
      <c r="C26" s="279">
        <f>ROUND('CBS ($ per kW)'!L31,-B17)</f>
        <v>3770</v>
      </c>
      <c r="D26" s="279">
        <f>ROUND('CBS ($ per kW)'!N31,-B17)</f>
        <v>2190</v>
      </c>
      <c r="E26" s="279">
        <f>ROUND('CBS ($ per kW)'!P31,-B17)</f>
        <v>1770</v>
      </c>
    </row>
    <row r="27" spans="1:14" ht="15" x14ac:dyDescent="0.25">
      <c r="A27" s="276" t="s">
        <v>77</v>
      </c>
      <c r="B27" s="279">
        <f>ROUND('CBS ($ per kW)'!J46,-B17)</f>
        <v>1280</v>
      </c>
      <c r="C27" s="279">
        <f>ROUND('CBS ($ per kW)'!L46,-B17)</f>
        <v>610</v>
      </c>
      <c r="D27" s="279">
        <f>ROUND('CBS ($ per kW)'!N46,-B17)</f>
        <v>420</v>
      </c>
      <c r="E27" s="279">
        <f>ROUND('CBS ($ per kW)'!P46,-B17)</f>
        <v>370</v>
      </c>
    </row>
    <row r="28" spans="1:14" ht="15" x14ac:dyDescent="0.25">
      <c r="A28" s="276" t="s">
        <v>49</v>
      </c>
      <c r="B28" s="279">
        <f>ROUND('CBS ($ per kW)'!J47,-B17)</f>
        <v>5920</v>
      </c>
      <c r="C28" s="279">
        <f>ROUND('CBS ($ per kW)'!L47,-B17)</f>
        <v>780</v>
      </c>
      <c r="D28" s="279">
        <f>ROUND('CBS ($ per kW)'!N47,-B17)</f>
        <v>350</v>
      </c>
      <c r="E28" s="279">
        <f>ROUND('CBS ($ per kW)'!P47,-B17)</f>
        <v>300</v>
      </c>
    </row>
    <row r="29" spans="1:14" ht="15" x14ac:dyDescent="0.25">
      <c r="A29" s="276" t="s">
        <v>161</v>
      </c>
      <c r="B29" s="279">
        <f>ROUND('CBS ($ per kW)'!J55,-B17)</f>
        <v>3240</v>
      </c>
      <c r="C29" s="279">
        <f>ROUND('CBS ($ per kW)'!L55,-B17)</f>
        <v>1020</v>
      </c>
      <c r="D29" s="279">
        <f>ROUND('CBS ($ per kW)'!N55,-B17)</f>
        <v>590</v>
      </c>
      <c r="E29" s="279">
        <f>ROUND('CBS ($ per kW)'!P55,-B17)</f>
        <v>510</v>
      </c>
    </row>
    <row r="30" spans="1:14" ht="15" x14ac:dyDescent="0.25">
      <c r="A30" s="276" t="s">
        <v>86</v>
      </c>
      <c r="B30" s="271">
        <f>SUM(B22:B29)</f>
        <v>35620</v>
      </c>
      <c r="C30" s="271">
        <f>SUM(C22:C29)</f>
        <v>11210</v>
      </c>
      <c r="D30" s="271">
        <f>SUM(D22:D29)</f>
        <v>6520</v>
      </c>
      <c r="E30" s="271">
        <f>SUM(E22:E29)</f>
        <v>5610</v>
      </c>
    </row>
    <row r="31" spans="1:14" s="317" customFormat="1" ht="15" x14ac:dyDescent="0.25">
      <c r="A31" s="266"/>
      <c r="B31" s="325"/>
      <c r="C31" s="325"/>
      <c r="D31" s="325"/>
      <c r="E31" s="325"/>
    </row>
    <row r="32" spans="1:14" s="317" customFormat="1" ht="15" x14ac:dyDescent="0.25">
      <c r="A32" s="266"/>
      <c r="B32" s="325"/>
      <c r="C32" s="325"/>
      <c r="D32" s="325"/>
      <c r="E32" s="325"/>
    </row>
    <row r="33" spans="1:7" s="317" customFormat="1" ht="15" x14ac:dyDescent="0.25">
      <c r="A33" s="266"/>
      <c r="B33" s="325"/>
      <c r="C33" s="325"/>
      <c r="D33" s="325"/>
      <c r="E33" s="325"/>
    </row>
    <row r="34" spans="1:7" s="317" customFormat="1" ht="15" x14ac:dyDescent="0.25">
      <c r="A34" t="s">
        <v>0</v>
      </c>
      <c r="B34"/>
      <c r="C34"/>
      <c r="D34"/>
      <c r="E34"/>
      <c r="F34"/>
      <c r="G34"/>
    </row>
    <row r="35" spans="1:7" s="317" customFormat="1" ht="15" x14ac:dyDescent="0.25">
      <c r="A35" s="288"/>
      <c r="B35" s="668" t="s">
        <v>94</v>
      </c>
      <c r="C35" s="669"/>
      <c r="D35" s="668" t="s">
        <v>95</v>
      </c>
      <c r="E35" s="669"/>
      <c r="F35" s="668" t="s">
        <v>96</v>
      </c>
      <c r="G35" s="669"/>
    </row>
    <row r="36" spans="1:7" s="317" customFormat="1" ht="15" x14ac:dyDescent="0.25">
      <c r="A36" s="286"/>
      <c r="B36" s="287" t="s">
        <v>264</v>
      </c>
      <c r="C36" s="287" t="s">
        <v>265</v>
      </c>
      <c r="D36" s="287" t="s">
        <v>264</v>
      </c>
      <c r="E36" s="287" t="s">
        <v>265</v>
      </c>
      <c r="F36" s="287" t="s">
        <v>264</v>
      </c>
      <c r="G36" s="287" t="s">
        <v>265</v>
      </c>
    </row>
    <row r="37" spans="1:7" s="317" customFormat="1" ht="15" x14ac:dyDescent="0.25">
      <c r="A37" s="283" t="s">
        <v>107</v>
      </c>
      <c r="B37" s="285">
        <f>'CBS (CoE)'!L6</f>
        <v>11.007116419310588</v>
      </c>
      <c r="C37" s="284">
        <f t="shared" ref="C37:C44" si="0">B37/B$45</f>
        <v>0.19906893468203257</v>
      </c>
      <c r="D37" s="285">
        <f>'CBS (CoE)'!N6</f>
        <v>2.6810225669279513</v>
      </c>
      <c r="E37" s="295">
        <f t="shared" ref="E37:E44" si="1">D37/D$45</f>
        <v>8.3240131187255012E-2</v>
      </c>
      <c r="F37" s="282">
        <f>'CBS (CoE)'!P6</f>
        <v>1.4253360256407857</v>
      </c>
      <c r="G37" s="295">
        <f t="shared" ref="G37:G44" si="2">F37/F$45</f>
        <v>5.149199918268739E-2</v>
      </c>
    </row>
    <row r="38" spans="1:7" s="317" customFormat="1" ht="15" x14ac:dyDescent="0.25">
      <c r="A38" s="283" t="s">
        <v>10</v>
      </c>
      <c r="B38" s="285">
        <f>'CBS (CoE)'!L14</f>
        <v>1.2051632659093878</v>
      </c>
      <c r="C38" s="295">
        <f t="shared" si="0"/>
        <v>2.179595075796676E-2</v>
      </c>
      <c r="D38" s="285">
        <f>'CBS (CoE)'!N14</f>
        <v>0.79615685149728765</v>
      </c>
      <c r="E38" s="295">
        <f t="shared" si="1"/>
        <v>2.4719001466744127E-2</v>
      </c>
      <c r="F38" s="282">
        <f>'CBS (CoE)'!P14</f>
        <v>0.7699825560694934</v>
      </c>
      <c r="G38" s="295">
        <f t="shared" si="2"/>
        <v>2.7816557243046918E-2</v>
      </c>
    </row>
    <row r="39" spans="1:7" s="317" customFormat="1" ht="15" x14ac:dyDescent="0.25">
      <c r="A39" s="283" t="s">
        <v>19</v>
      </c>
      <c r="B39" s="285">
        <f>'CBS (CoE)'!L20</f>
        <v>1.1952487600655264</v>
      </c>
      <c r="C39" s="295">
        <f t="shared" si="0"/>
        <v>2.1616642205113286E-2</v>
      </c>
      <c r="D39" s="285">
        <f>'CBS (CoE)'!N20</f>
        <v>1.1952487600655262</v>
      </c>
      <c r="E39" s="295">
        <f t="shared" si="1"/>
        <v>3.7109968717369622E-2</v>
      </c>
      <c r="F39" s="282">
        <f>'CBS (CoE)'!P20</f>
        <v>1.1952487600655262</v>
      </c>
      <c r="G39" s="295">
        <f t="shared" si="2"/>
        <v>4.3179816597095542E-2</v>
      </c>
    </row>
    <row r="40" spans="1:7" s="317" customFormat="1" ht="15" x14ac:dyDescent="0.25">
      <c r="A40" s="283" t="s">
        <v>29</v>
      </c>
      <c r="B40" s="285">
        <f>'CBS (CoE)'!L26</f>
        <v>11.421869810231215</v>
      </c>
      <c r="C40" s="295">
        <f t="shared" si="0"/>
        <v>0.2065699469854439</v>
      </c>
      <c r="D40" s="285">
        <f>'CBS (CoE)'!N26</f>
        <v>10.025585812183062</v>
      </c>
      <c r="E40" s="295">
        <f t="shared" si="1"/>
        <v>0.31127342549430598</v>
      </c>
      <c r="F40" s="282">
        <f>'CBS (CoE)'!P26</f>
        <v>9.6953681800060441</v>
      </c>
      <c r="G40" s="295">
        <f t="shared" si="2"/>
        <v>0.35025697899994135</v>
      </c>
    </row>
    <row r="41" spans="1:7" s="317" customFormat="1" ht="15" x14ac:dyDescent="0.25">
      <c r="A41" s="283" t="s">
        <v>34</v>
      </c>
      <c r="B41" s="285">
        <f>'CBS (CoE)'!L31</f>
        <v>18.575266352340687</v>
      </c>
      <c r="C41" s="295">
        <f t="shared" si="0"/>
        <v>0.33594252512022293</v>
      </c>
      <c r="D41" s="285">
        <f>'CBS (CoE)'!N31</f>
        <v>10.787963146995319</v>
      </c>
      <c r="E41" s="295">
        <f t="shared" si="1"/>
        <v>0.33494364377101304</v>
      </c>
      <c r="F41" s="282">
        <f>'CBS (CoE)'!P31</f>
        <v>8.7508277143764257</v>
      </c>
      <c r="G41" s="295">
        <f t="shared" si="2"/>
        <v>0.31613430476082632</v>
      </c>
    </row>
    <row r="42" spans="1:7" s="317" customFormat="1" ht="15" x14ac:dyDescent="0.25">
      <c r="A42" s="283" t="s">
        <v>77</v>
      </c>
      <c r="B42" s="285">
        <f>'CBS (CoE)'!L46</f>
        <v>2.9997136162571905</v>
      </c>
      <c r="C42" s="295">
        <f t="shared" si="0"/>
        <v>5.4251247210566692E-2</v>
      </c>
      <c r="D42" s="285">
        <f>'CBS (CoE)'!N46</f>
        <v>2.0813548959178383</v>
      </c>
      <c r="E42" s="295">
        <f t="shared" si="1"/>
        <v>6.4621706926531908E-2</v>
      </c>
      <c r="F42" s="282">
        <f>'CBS (CoE)'!P46</f>
        <v>1.8446195894382469</v>
      </c>
      <c r="G42" s="295">
        <f t="shared" si="2"/>
        <v>6.6639128376076759E-2</v>
      </c>
    </row>
    <row r="43" spans="1:7" s="317" customFormat="1" ht="15" x14ac:dyDescent="0.25">
      <c r="A43" s="283" t="s">
        <v>49</v>
      </c>
      <c r="B43" s="285">
        <f>'CBS (CoE)'!L47</f>
        <v>3.8619754291241648</v>
      </c>
      <c r="C43" s="295">
        <f t="shared" si="0"/>
        <v>6.9845662129563044E-2</v>
      </c>
      <c r="D43" s="285">
        <f>'CBS (CoE)'!N47</f>
        <v>1.712934682702755</v>
      </c>
      <c r="E43" s="295">
        <f t="shared" si="1"/>
        <v>5.318303152768953E-2</v>
      </c>
      <c r="F43" s="282">
        <f>'CBS (CoE)'!P47</f>
        <v>1.4829153930957668</v>
      </c>
      <c r="G43" s="295">
        <f t="shared" si="2"/>
        <v>5.3572123931234762E-2</v>
      </c>
    </row>
    <row r="44" spans="1:7" s="317" customFormat="1" ht="15" x14ac:dyDescent="0.25">
      <c r="A44" s="283" t="s">
        <v>161</v>
      </c>
      <c r="B44" s="285">
        <f>'CBS (CoE)'!L55</f>
        <v>5.0266353653238767</v>
      </c>
      <c r="C44" s="295">
        <f t="shared" si="0"/>
        <v>9.0909090909090939E-2</v>
      </c>
      <c r="D44" s="285">
        <f>'CBS (CoE)'!N55</f>
        <v>2.9280266716289733</v>
      </c>
      <c r="E44" s="295">
        <f t="shared" si="1"/>
        <v>9.0909090909090912E-2</v>
      </c>
      <c r="F44" s="282">
        <f>'CBS (CoE)'!P55</f>
        <v>2.5164298218692291</v>
      </c>
      <c r="G44" s="295">
        <f t="shared" si="2"/>
        <v>9.0909090909090912E-2</v>
      </c>
    </row>
    <row r="45" spans="1:7" s="317" customFormat="1" ht="15" x14ac:dyDescent="0.25">
      <c r="A45" s="283" t="s">
        <v>86</v>
      </c>
      <c r="B45" s="285">
        <f>SUM(B37:B44)</f>
        <v>55.292989018562629</v>
      </c>
      <c r="C45" s="281"/>
      <c r="D45" s="285">
        <f>SUM(D37:D44)</f>
        <v>32.208293387918708</v>
      </c>
      <c r="E45" s="281"/>
      <c r="F45" s="285">
        <f>SUM(F37:F44)</f>
        <v>27.680728040561519</v>
      </c>
      <c r="G45" s="281"/>
    </row>
    <row r="46" spans="1:7" s="317" customFormat="1" ht="15" x14ac:dyDescent="0.25">
      <c r="A46" s="266"/>
      <c r="B46" s="325"/>
      <c r="C46" s="325"/>
      <c r="D46" s="325"/>
      <c r="E46" s="325"/>
    </row>
    <row r="47" spans="1:7" ht="15" x14ac:dyDescent="0.25">
      <c r="A47" t="s">
        <v>261</v>
      </c>
      <c r="B47">
        <v>0</v>
      </c>
      <c r="C47" t="s">
        <v>262</v>
      </c>
    </row>
    <row r="48" spans="1:7" ht="15" x14ac:dyDescent="0.25">
      <c r="A48" t="s">
        <v>260</v>
      </c>
      <c r="B48">
        <v>1000</v>
      </c>
    </row>
    <row r="49" spans="1:5" x14ac:dyDescent="0.3">
      <c r="A49" s="301" t="str">
        <f>IF(B48=1,"Annual Cost ($)",IF(B48=1000,"Annual Cost in Thousands ($)",IF(B48=1000000,"Annual Cost in Millions ($)","CostBasisnotspecified")))</f>
        <v>Annual Cost in Thousands ($)</v>
      </c>
    </row>
    <row r="50" spans="1:5" x14ac:dyDescent="0.3">
      <c r="A50" s="672"/>
      <c r="B50" s="343" t="s">
        <v>105</v>
      </c>
      <c r="C50" s="344" t="s">
        <v>94</v>
      </c>
      <c r="D50" s="345" t="s">
        <v>95</v>
      </c>
      <c r="E50" s="343" t="s">
        <v>96</v>
      </c>
    </row>
    <row r="51" spans="1:5" x14ac:dyDescent="0.3">
      <c r="A51" s="673"/>
      <c r="B51" s="343" t="s">
        <v>268</v>
      </c>
      <c r="C51" s="343" t="s">
        <v>268</v>
      </c>
      <c r="D51" s="343" t="s">
        <v>268</v>
      </c>
      <c r="E51" s="343" t="s">
        <v>268</v>
      </c>
    </row>
    <row r="52" spans="1:5" x14ac:dyDescent="0.3">
      <c r="A52" s="289" t="s">
        <v>54</v>
      </c>
      <c r="B52" s="290">
        <f>ROUND('CBS (Total)'!J58/B48,-B47)</f>
        <v>39</v>
      </c>
      <c r="C52" s="290">
        <f>ROUND('CBS (Total)'!L58/B48,-B47)</f>
        <v>143</v>
      </c>
      <c r="D52" s="290">
        <f>ROUND('CBS (Total)'!N58/B48,-B47)</f>
        <v>241</v>
      </c>
      <c r="E52" s="290">
        <f>ROUND('CBS (Total)'!P58/B48,-B47)</f>
        <v>215</v>
      </c>
    </row>
    <row r="53" spans="1:5" x14ac:dyDescent="0.3">
      <c r="A53" s="289" t="s">
        <v>267</v>
      </c>
      <c r="B53" s="290">
        <f>ROUND('CBS (Total)'!J59/B48,-B47)</f>
        <v>128</v>
      </c>
      <c r="C53" s="290">
        <f>ROUND('CBS (Total)'!L59/B48,-B47)</f>
        <v>174</v>
      </c>
      <c r="D53" s="290">
        <f>ROUND('CBS (Total)'!N59/B48,-B47)</f>
        <v>174</v>
      </c>
      <c r="E53" s="290">
        <f>ROUND('CBS (Total)'!P59/B48,-B47)</f>
        <v>174</v>
      </c>
    </row>
    <row r="54" spans="1:5" x14ac:dyDescent="0.3">
      <c r="A54" s="289" t="s">
        <v>56</v>
      </c>
      <c r="B54" s="290">
        <f>ROUND('CBS (Total)'!J60/B48,-B47)</f>
        <v>7</v>
      </c>
      <c r="C54" s="290">
        <f>ROUND('CBS (Total)'!L60/B48,-B47)</f>
        <v>71</v>
      </c>
      <c r="D54" s="290">
        <f>ROUND('CBS (Total)'!N60/B48,-B47)</f>
        <v>354</v>
      </c>
      <c r="E54" s="290">
        <f>ROUND('CBS (Total)'!P60/B48,-B47)</f>
        <v>708</v>
      </c>
    </row>
    <row r="55" spans="1:5" x14ac:dyDescent="0.3">
      <c r="A55" s="289" t="s">
        <v>57</v>
      </c>
      <c r="B55" s="290">
        <f>ROUND('CBS (Total)'!J61/B48,-B47)</f>
        <v>9</v>
      </c>
      <c r="C55" s="290">
        <f>ROUND('CBS (Total)'!L61/B48,-B47)</f>
        <v>53</v>
      </c>
      <c r="D55" s="290">
        <f>ROUND('CBS (Total)'!N61/B48,-B47)</f>
        <v>151</v>
      </c>
      <c r="E55" s="290">
        <f>ROUND('CBS (Total)'!P61/B48,-B47)</f>
        <v>271</v>
      </c>
    </row>
    <row r="56" spans="1:5" x14ac:dyDescent="0.3">
      <c r="A56" s="289" t="s">
        <v>58</v>
      </c>
      <c r="B56" s="290">
        <f>ROUND('CBS (Total)'!J62/B48,-B47)</f>
        <v>16</v>
      </c>
      <c r="C56" s="290">
        <f>ROUND('CBS (Total)'!L62/B48,-B47)</f>
        <v>64</v>
      </c>
      <c r="D56" s="290">
        <f>ROUND('CBS (Total)'!N62/B48,-B47)</f>
        <v>186</v>
      </c>
      <c r="E56" s="290">
        <f>ROUND('CBS (Total)'!P62/B48,-B47)</f>
        <v>302</v>
      </c>
    </row>
    <row r="57" spans="1:5" x14ac:dyDescent="0.3">
      <c r="A57" s="289" t="s">
        <v>59</v>
      </c>
      <c r="B57" s="290">
        <f>ROUND('CBS (Total)'!J63/B48,-B47)</f>
        <v>2</v>
      </c>
      <c r="C57" s="290">
        <f>ROUND('CBS (Total)'!L63/B48,-B47)</f>
        <v>6</v>
      </c>
      <c r="D57" s="290">
        <f>ROUND('CBS (Total)'!N63/B48,-B47)</f>
        <v>19</v>
      </c>
      <c r="E57" s="290">
        <f>ROUND('CBS (Total)'!P63/B48,-B47)</f>
        <v>30</v>
      </c>
    </row>
    <row r="58" spans="1:5" x14ac:dyDescent="0.3">
      <c r="A58" s="289" t="s">
        <v>86</v>
      </c>
      <c r="B58" s="290">
        <f>SUM(B52:B57)</f>
        <v>201</v>
      </c>
      <c r="C58" s="290">
        <f t="shared" ref="C58:E58" si="3">SUM(C52:C57)</f>
        <v>511</v>
      </c>
      <c r="D58" s="290">
        <f t="shared" si="3"/>
        <v>1125</v>
      </c>
      <c r="E58" s="290">
        <f t="shared" si="3"/>
        <v>1700</v>
      </c>
    </row>
    <row r="60" spans="1:5" x14ac:dyDescent="0.3">
      <c r="A60" t="s">
        <v>261</v>
      </c>
      <c r="B60">
        <v>1</v>
      </c>
      <c r="C60" t="s">
        <v>262</v>
      </c>
    </row>
    <row r="62" spans="1:5" x14ac:dyDescent="0.3">
      <c r="A62" t="s">
        <v>271</v>
      </c>
    </row>
    <row r="63" spans="1:5" x14ac:dyDescent="0.3">
      <c r="A63" s="672"/>
      <c r="B63" s="343" t="s">
        <v>105</v>
      </c>
      <c r="C63" s="344" t="s">
        <v>94</v>
      </c>
      <c r="D63" s="345" t="s">
        <v>95</v>
      </c>
      <c r="E63" s="343" t="s">
        <v>96</v>
      </c>
    </row>
    <row r="64" spans="1:5" x14ac:dyDescent="0.3">
      <c r="A64" s="673"/>
      <c r="B64" s="343" t="s">
        <v>266</v>
      </c>
      <c r="C64" s="343" t="s">
        <v>266</v>
      </c>
      <c r="D64" s="343" t="s">
        <v>266</v>
      </c>
      <c r="E64" s="343" t="s">
        <v>266</v>
      </c>
    </row>
    <row r="65" spans="1:7" x14ac:dyDescent="0.3">
      <c r="A65" s="291" t="s">
        <v>54</v>
      </c>
      <c r="B65" s="292">
        <f>ROUND('CBS ($ per kW)'!J60,-B60)</f>
        <v>440</v>
      </c>
      <c r="C65" s="292">
        <f>ROUND('CBS ($ per kW)'!L60,-B60)</f>
        <v>160</v>
      </c>
      <c r="D65" s="292">
        <f>ROUND('CBS ($ per kW)'!N60,-B60)</f>
        <v>50</v>
      </c>
      <c r="E65" s="292">
        <f>ROUND('CBS ($ per kW)'!P60,-B60)</f>
        <v>20</v>
      </c>
    </row>
    <row r="66" spans="1:7" x14ac:dyDescent="0.3">
      <c r="A66" s="291" t="s">
        <v>267</v>
      </c>
      <c r="B66" s="292">
        <f>ROUND('CBS ($ per kW)'!J61,-B60)</f>
        <v>1420</v>
      </c>
      <c r="C66" s="292">
        <f>ROUND('CBS ($ per kW)'!L61,-B60)</f>
        <v>190</v>
      </c>
      <c r="D66" s="292">
        <f>ROUND('CBS ($ per kW)'!N61,-B60)</f>
        <v>40</v>
      </c>
      <c r="E66" s="292">
        <f>ROUND('CBS ($ per kW)'!P61,-B60)</f>
        <v>20</v>
      </c>
    </row>
    <row r="67" spans="1:7" x14ac:dyDescent="0.3">
      <c r="A67" s="291" t="s">
        <v>56</v>
      </c>
      <c r="B67" s="292">
        <f>ROUND('CBS ($ per kW)'!J62,-B60)</f>
        <v>80</v>
      </c>
      <c r="C67" s="292">
        <f>ROUND('CBS ($ per kW)'!L62,-B60)</f>
        <v>80</v>
      </c>
      <c r="D67" s="292">
        <f>ROUND('CBS ($ per kW)'!N62,-B60)</f>
        <v>80</v>
      </c>
      <c r="E67" s="292">
        <f>ROUND('CBS ($ per kW)'!P62,-B60)</f>
        <v>80</v>
      </c>
    </row>
    <row r="68" spans="1:7" x14ac:dyDescent="0.3">
      <c r="A68" s="291" t="s">
        <v>57</v>
      </c>
      <c r="B68" s="292">
        <f>ROUND('CBS ($ per kW)'!J63,-B60)</f>
        <v>100</v>
      </c>
      <c r="C68" s="292">
        <f>ROUND('CBS ($ per kW)'!L63,-B60)</f>
        <v>60</v>
      </c>
      <c r="D68" s="292">
        <f>ROUND('CBS ($ per kW)'!N63,-B60)</f>
        <v>30</v>
      </c>
      <c r="E68" s="292">
        <f>ROUND('CBS ($ per kW)'!P63,-B60)</f>
        <v>30</v>
      </c>
    </row>
    <row r="69" spans="1:7" x14ac:dyDescent="0.3">
      <c r="A69" s="291" t="s">
        <v>58</v>
      </c>
      <c r="B69" s="292">
        <f>ROUND('CBS ($ per kW)'!J64,-B60)</f>
        <v>180</v>
      </c>
      <c r="C69" s="292">
        <f>ROUND('CBS ($ per kW)'!L64,-B60)</f>
        <v>70</v>
      </c>
      <c r="D69" s="292">
        <f>ROUND('CBS ($ per kW)'!N64,-B60)</f>
        <v>40</v>
      </c>
      <c r="E69" s="292">
        <f>ROUND('CBS ($ per kW)'!P64,-B60)</f>
        <v>30</v>
      </c>
    </row>
    <row r="70" spans="1:7" x14ac:dyDescent="0.3">
      <c r="A70" s="291" t="s">
        <v>59</v>
      </c>
      <c r="B70" s="292">
        <f>ROUND('CBS ($ per kW)'!J65,-B60)</f>
        <v>20</v>
      </c>
      <c r="C70" s="292">
        <f>ROUND('CBS ($ per kW)'!L65,-B60)</f>
        <v>10</v>
      </c>
      <c r="D70" s="292">
        <f>ROUND('CBS ($ per kW)'!N65,-B60)</f>
        <v>0</v>
      </c>
      <c r="E70" s="292">
        <f>ROUND('CBS ($ per kW)'!P65,-B60)</f>
        <v>0</v>
      </c>
    </row>
    <row r="71" spans="1:7" x14ac:dyDescent="0.3">
      <c r="A71" s="291" t="s">
        <v>86</v>
      </c>
      <c r="B71" s="292">
        <f>SUM(B65:B70)</f>
        <v>2240</v>
      </c>
      <c r="C71" s="292">
        <f t="shared" ref="C71:E71" si="4">SUM(C65:C70)</f>
        <v>570</v>
      </c>
      <c r="D71" s="292">
        <f t="shared" si="4"/>
        <v>240</v>
      </c>
      <c r="E71" s="292">
        <f t="shared" si="4"/>
        <v>180</v>
      </c>
    </row>
    <row r="73" spans="1:7" x14ac:dyDescent="0.3">
      <c r="A73" s="302"/>
    </row>
    <row r="76" spans="1:7" x14ac:dyDescent="0.3">
      <c r="A76" t="s">
        <v>271</v>
      </c>
    </row>
    <row r="77" spans="1:7" x14ac:dyDescent="0.3">
      <c r="A77" s="670"/>
      <c r="B77" s="668" t="s">
        <v>94</v>
      </c>
      <c r="C77" s="669"/>
      <c r="D77" s="668" t="s">
        <v>95</v>
      </c>
      <c r="E77" s="669"/>
      <c r="F77" s="668" t="s">
        <v>96</v>
      </c>
      <c r="G77" s="669"/>
    </row>
    <row r="78" spans="1:7" x14ac:dyDescent="0.3">
      <c r="A78" s="671"/>
      <c r="B78" s="300" t="s">
        <v>264</v>
      </c>
      <c r="C78" s="300" t="s">
        <v>265</v>
      </c>
      <c r="D78" s="300" t="s">
        <v>264</v>
      </c>
      <c r="E78" s="300" t="s">
        <v>265</v>
      </c>
      <c r="F78" s="300" t="s">
        <v>264</v>
      </c>
      <c r="G78" s="300" t="s">
        <v>265</v>
      </c>
    </row>
    <row r="79" spans="1:7" x14ac:dyDescent="0.3">
      <c r="A79" s="296" t="s">
        <v>54</v>
      </c>
      <c r="B79" s="297">
        <f>'CBS (CoE)'!L60</f>
        <v>6.9746563052571542</v>
      </c>
      <c r="C79" s="295">
        <f t="shared" ref="C79:C84" si="5">B79/B$85</f>
        <v>0.27916626562768398</v>
      </c>
      <c r="D79" s="297">
        <f>'CBS (CoE)'!N60</f>
        <v>2.3627635047515922</v>
      </c>
      <c r="E79" s="295">
        <f t="shared" ref="E79:E84" si="6">D79/D$85</f>
        <v>0.21456617038392939</v>
      </c>
      <c r="F79" s="297">
        <f>'CBS (CoE)'!P60</f>
        <v>1.0543448752803322</v>
      </c>
      <c r="G79" s="295">
        <f t="shared" ref="G79:G84" si="7">F79/F$85</f>
        <v>0.12670558787608305</v>
      </c>
    </row>
    <row r="80" spans="1:7" x14ac:dyDescent="0.3">
      <c r="A80" s="296" t="s">
        <v>267</v>
      </c>
      <c r="B80" s="297">
        <f>'CBS (CoE)'!L61</f>
        <v>8.5133164044744518</v>
      </c>
      <c r="C80" s="295">
        <f t="shared" si="5"/>
        <v>0.3407523818704366</v>
      </c>
      <c r="D80" s="297">
        <f>'CBS (CoE)'!N61</f>
        <v>1.7026632808948903</v>
      </c>
      <c r="E80" s="295">
        <f t="shared" si="6"/>
        <v>0.15462145868609156</v>
      </c>
      <c r="F80" s="297">
        <f>'CBS (CoE)'!P61</f>
        <v>0.85133164044744514</v>
      </c>
      <c r="G80" s="295">
        <f t="shared" si="7"/>
        <v>0.10230853159097808</v>
      </c>
    </row>
    <row r="81" spans="1:7" x14ac:dyDescent="0.3">
      <c r="A81" s="296" t="s">
        <v>56</v>
      </c>
      <c r="B81" s="297">
        <f>'CBS (CoE)'!L62</f>
        <v>3.464039088717191</v>
      </c>
      <c r="C81" s="295">
        <f t="shared" si="5"/>
        <v>0.13865096917486733</v>
      </c>
      <c r="D81" s="297">
        <f>'CBS (CoE)'!N62</f>
        <v>3.464039088717191</v>
      </c>
      <c r="E81" s="295">
        <f t="shared" si="6"/>
        <v>0.3145746918096346</v>
      </c>
      <c r="F81" s="297">
        <f>'CBS (CoE)'!P62</f>
        <v>3.464039088717191</v>
      </c>
      <c r="G81" s="295">
        <f t="shared" si="7"/>
        <v>0.41628988716329018</v>
      </c>
    </row>
    <row r="82" spans="1:7" x14ac:dyDescent="0.3">
      <c r="A82" s="296" t="s">
        <v>57</v>
      </c>
      <c r="B82" s="297">
        <f>'CBS (CoE)'!L63</f>
        <v>2.5833511848060406</v>
      </c>
      <c r="C82" s="295">
        <f t="shared" si="5"/>
        <v>0.10340072277447733</v>
      </c>
      <c r="D82" s="297">
        <f>'CBS (CoE)'!N63</f>
        <v>1.4795556785707324</v>
      </c>
      <c r="E82" s="295">
        <f t="shared" si="6"/>
        <v>0.13436071582377615</v>
      </c>
      <c r="F82" s="297">
        <f>'CBS (CoE)'!P63</f>
        <v>1.3269031085594665</v>
      </c>
      <c r="G82" s="295">
        <f t="shared" si="7"/>
        <v>0.15946019406593828</v>
      </c>
    </row>
    <row r="83" spans="1:7" x14ac:dyDescent="0.3">
      <c r="A83" s="296" t="s">
        <v>58</v>
      </c>
      <c r="B83" s="297">
        <f>'CBS (CoE)'!L64</f>
        <v>3.1350148991307836</v>
      </c>
      <c r="C83" s="295">
        <f t="shared" si="5"/>
        <v>0.1254815095932133</v>
      </c>
      <c r="D83" s="297">
        <f>'CBS (CoE)'!N64</f>
        <v>1.8207235662514414</v>
      </c>
      <c r="E83" s="295">
        <f t="shared" si="6"/>
        <v>0.16534269390597123</v>
      </c>
      <c r="F83" s="297">
        <f>'CBS (CoE)'!P64</f>
        <v>1.476908849860971</v>
      </c>
      <c r="G83" s="295">
        <f t="shared" si="7"/>
        <v>0.1774870902761003</v>
      </c>
    </row>
    <row r="84" spans="1:7" x14ac:dyDescent="0.3">
      <c r="A84" s="296" t="s">
        <v>59</v>
      </c>
      <c r="B84" s="297">
        <f>'CBS (CoE)'!L65</f>
        <v>0.31350148991307836</v>
      </c>
      <c r="C84" s="295">
        <f t="shared" si="5"/>
        <v>1.254815095932133E-2</v>
      </c>
      <c r="D84" s="297">
        <f>'CBS (CoE)'!N65</f>
        <v>0.18207235662514415</v>
      </c>
      <c r="E84" s="295">
        <f t="shared" si="6"/>
        <v>1.6534269390597125E-2</v>
      </c>
      <c r="F84" s="297">
        <f>'CBS (CoE)'!P65</f>
        <v>0.14769088498609712</v>
      </c>
      <c r="G84" s="295">
        <f t="shared" si="7"/>
        <v>1.774870902761003E-2</v>
      </c>
    </row>
    <row r="85" spans="1:7" x14ac:dyDescent="0.3">
      <c r="A85" s="296" t="s">
        <v>86</v>
      </c>
      <c r="B85" s="297">
        <f>SUM(B79:B84)</f>
        <v>24.983879372298702</v>
      </c>
      <c r="C85" s="294"/>
      <c r="D85" s="297">
        <f>SUM(D79:D84)</f>
        <v>11.011817475810991</v>
      </c>
      <c r="E85" s="298"/>
      <c r="F85" s="297">
        <f>SUM(F79:F84)</f>
        <v>8.3212184478515034</v>
      </c>
      <c r="G85" s="299"/>
    </row>
    <row r="87" spans="1:7" x14ac:dyDescent="0.3">
      <c r="B87" s="376"/>
    </row>
    <row r="89" spans="1:7" x14ac:dyDescent="0.3">
      <c r="A89" t="s">
        <v>272</v>
      </c>
    </row>
    <row r="90" spans="1:7" x14ac:dyDescent="0.3">
      <c r="A90" s="326"/>
      <c r="B90" s="668" t="s">
        <v>94</v>
      </c>
      <c r="C90" s="669"/>
      <c r="D90" s="668" t="s">
        <v>95</v>
      </c>
      <c r="E90" s="669"/>
      <c r="F90" s="668" t="s">
        <v>96</v>
      </c>
      <c r="G90" s="669"/>
    </row>
    <row r="91" spans="1:7" x14ac:dyDescent="0.3">
      <c r="A91" s="309"/>
      <c r="B91" s="310" t="s">
        <v>264</v>
      </c>
      <c r="C91" s="310" t="s">
        <v>265</v>
      </c>
      <c r="D91" s="310" t="s">
        <v>264</v>
      </c>
      <c r="E91" s="310" t="s">
        <v>265</v>
      </c>
      <c r="F91" s="310" t="s">
        <v>264</v>
      </c>
      <c r="G91" s="310" t="s">
        <v>265</v>
      </c>
    </row>
    <row r="92" spans="1:7" x14ac:dyDescent="0.3">
      <c r="A92" s="305" t="s">
        <v>269</v>
      </c>
      <c r="B92" s="306">
        <f>B39+B40+B41+B42</f>
        <v>34.192098538894619</v>
      </c>
      <c r="C92" s="304">
        <f t="shared" ref="C92:C97" si="8">B92/B$98</f>
        <v>0.42592715964474548</v>
      </c>
      <c r="D92" s="306">
        <f>D39+D40+D41+D42</f>
        <v>24.090152615161745</v>
      </c>
      <c r="E92" s="304">
        <f t="shared" ref="E92:E97" si="9">D92/D$98</f>
        <v>0.55738294358190066</v>
      </c>
      <c r="F92" s="306">
        <f>F39+F40+F41+F42</f>
        <v>21.48606424388624</v>
      </c>
      <c r="G92" s="304">
        <f t="shared" ref="G92:G97" si="10">F92/F$98</f>
        <v>0.59680284927931293</v>
      </c>
    </row>
    <row r="93" spans="1:7" x14ac:dyDescent="0.3">
      <c r="A93" s="305" t="s">
        <v>10</v>
      </c>
      <c r="B93" s="306">
        <f>B38</f>
        <v>1.2051632659093878</v>
      </c>
      <c r="C93" s="304">
        <f t="shared" si="8"/>
        <v>1.5012584447633769E-2</v>
      </c>
      <c r="D93" s="306">
        <f>D38</f>
        <v>0.79615685149728765</v>
      </c>
      <c r="E93" s="304">
        <f t="shared" si="9"/>
        <v>1.8420981241985247E-2</v>
      </c>
      <c r="F93" s="306">
        <f>F38</f>
        <v>0.7699825560694934</v>
      </c>
      <c r="G93" s="304">
        <f t="shared" si="10"/>
        <v>2.138724794553281E-2</v>
      </c>
    </row>
    <row r="94" spans="1:7" x14ac:dyDescent="0.3">
      <c r="A94" s="305" t="s">
        <v>107</v>
      </c>
      <c r="B94" s="306">
        <f>B37</f>
        <v>11.007116419310588</v>
      </c>
      <c r="C94" s="304">
        <f t="shared" si="8"/>
        <v>0.13711442212366656</v>
      </c>
      <c r="D94" s="306">
        <f>D37</f>
        <v>2.6810225669279513</v>
      </c>
      <c r="E94" s="304">
        <f t="shared" si="9"/>
        <v>6.2031829936324022E-2</v>
      </c>
      <c r="F94" s="306">
        <f>F37</f>
        <v>1.4253360256407857</v>
      </c>
      <c r="G94" s="304">
        <f t="shared" si="10"/>
        <v>3.9590526753866505E-2</v>
      </c>
    </row>
    <row r="95" spans="1:7" x14ac:dyDescent="0.3">
      <c r="A95" s="305" t="s">
        <v>49</v>
      </c>
      <c r="B95" s="306">
        <f>B43</f>
        <v>3.8619754291241648</v>
      </c>
      <c r="C95" s="304">
        <f t="shared" si="8"/>
        <v>4.810819737412439E-2</v>
      </c>
      <c r="D95" s="306">
        <f>D43</f>
        <v>1.712934682702755</v>
      </c>
      <c r="E95" s="304">
        <f t="shared" si="9"/>
        <v>3.9632815568278634E-2</v>
      </c>
      <c r="F95" s="306">
        <f>F43</f>
        <v>1.4829153930957668</v>
      </c>
      <c r="G95" s="304">
        <f t="shared" si="10"/>
        <v>4.1189867152683905E-2</v>
      </c>
    </row>
    <row r="96" spans="1:7" x14ac:dyDescent="0.3">
      <c r="A96" s="305" t="s">
        <v>161</v>
      </c>
      <c r="B96" s="306">
        <f>B44</f>
        <v>5.0266353653238767</v>
      </c>
      <c r="C96" s="304">
        <f t="shared" si="8"/>
        <v>6.261623635901703E-2</v>
      </c>
      <c r="D96" s="306">
        <f>D44</f>
        <v>2.9280266716289733</v>
      </c>
      <c r="E96" s="304">
        <f t="shared" si="9"/>
        <v>6.7746857032848842E-2</v>
      </c>
      <c r="F96" s="306">
        <f>F44</f>
        <v>2.5164298218692291</v>
      </c>
      <c r="G96" s="304">
        <f t="shared" si="10"/>
        <v>6.9897049113139625E-2</v>
      </c>
    </row>
    <row r="97" spans="1:8" x14ac:dyDescent="0.3">
      <c r="A97" s="305" t="s">
        <v>270</v>
      </c>
      <c r="B97" s="306">
        <f>B85</f>
        <v>24.983879372298702</v>
      </c>
      <c r="C97" s="304">
        <f t="shared" si="8"/>
        <v>0.31122140005081278</v>
      </c>
      <c r="D97" s="306">
        <f>D85</f>
        <v>11.011817475810991</v>
      </c>
      <c r="E97" s="304">
        <f t="shared" si="9"/>
        <v>0.25478457263866261</v>
      </c>
      <c r="F97" s="306">
        <f>F85</f>
        <v>8.3212184478515034</v>
      </c>
      <c r="G97" s="304">
        <f t="shared" si="10"/>
        <v>0.2311324597554644</v>
      </c>
    </row>
    <row r="98" spans="1:8" x14ac:dyDescent="0.3">
      <c r="A98" s="305" t="s">
        <v>86</v>
      </c>
      <c r="B98" s="306">
        <f>SUM(B92:B97)</f>
        <v>80.276868390861338</v>
      </c>
      <c r="C98" s="303"/>
      <c r="D98" s="306">
        <f>SUM(D92:D97)</f>
        <v>43.220110863729701</v>
      </c>
      <c r="E98" s="307"/>
      <c r="F98" s="306">
        <f>SUM(F92:F97)</f>
        <v>36.001946488413012</v>
      </c>
      <c r="G98" s="308"/>
    </row>
    <row r="100" spans="1:8" x14ac:dyDescent="0.3">
      <c r="A100" s="483"/>
      <c r="B100" s="483"/>
      <c r="C100" s="483"/>
      <c r="D100" s="483"/>
      <c r="E100" s="483"/>
      <c r="F100" s="483"/>
      <c r="G100" s="483"/>
      <c r="H100" s="483"/>
    </row>
    <row r="101" spans="1:8" ht="15" customHeight="1" x14ac:dyDescent="0.3">
      <c r="A101" s="483"/>
      <c r="B101" s="483"/>
      <c r="C101" s="483"/>
      <c r="D101" s="483"/>
      <c r="E101" s="483"/>
      <c r="F101" s="483"/>
      <c r="G101" s="483"/>
      <c r="H101" s="483"/>
    </row>
    <row r="102" spans="1:8" ht="14.25" customHeight="1" x14ac:dyDescent="0.3">
      <c r="A102" s="400"/>
      <c r="B102" s="464"/>
      <c r="C102" s="434"/>
      <c r="D102" s="434"/>
      <c r="E102" s="434"/>
      <c r="F102" s="434"/>
      <c r="G102" s="483"/>
      <c r="H102" s="483"/>
    </row>
    <row r="103" spans="1:8" x14ac:dyDescent="0.3">
      <c r="A103" s="484"/>
      <c r="B103" s="484"/>
      <c r="C103" s="462"/>
      <c r="D103" s="462"/>
      <c r="E103" s="462"/>
      <c r="F103" s="462"/>
      <c r="G103" s="483"/>
      <c r="H103" s="483"/>
    </row>
    <row r="104" spans="1:8" x14ac:dyDescent="0.3">
      <c r="A104" s="484"/>
      <c r="B104" s="484"/>
      <c r="C104" s="462"/>
      <c r="D104" s="462"/>
      <c r="E104" s="462"/>
      <c r="F104" s="462"/>
      <c r="G104" s="483"/>
      <c r="H104" s="483"/>
    </row>
    <row r="105" spans="1:8" x14ac:dyDescent="0.3">
      <c r="A105" s="484"/>
      <c r="B105" s="462"/>
      <c r="C105" s="462"/>
      <c r="D105" s="462"/>
      <c r="E105" s="462"/>
      <c r="F105" s="462"/>
      <c r="G105" s="483"/>
      <c r="H105" s="483"/>
    </row>
    <row r="106" spans="1:8" x14ac:dyDescent="0.3">
      <c r="A106" s="484"/>
      <c r="B106" s="462"/>
      <c r="C106" s="462"/>
      <c r="D106" s="462"/>
      <c r="E106" s="462"/>
      <c r="F106" s="462"/>
      <c r="G106" s="483"/>
      <c r="H106" s="483"/>
    </row>
    <row r="107" spans="1:8" x14ac:dyDescent="0.3">
      <c r="A107" s="484"/>
      <c r="B107" s="462"/>
      <c r="C107" s="462"/>
      <c r="D107" s="462"/>
      <c r="E107" s="462"/>
      <c r="F107" s="462"/>
      <c r="G107" s="483"/>
      <c r="H107" s="483"/>
    </row>
    <row r="108" spans="1:8" x14ac:dyDescent="0.3">
      <c r="A108" s="484"/>
      <c r="B108" s="462"/>
      <c r="C108" s="462"/>
      <c r="D108" s="462"/>
      <c r="E108" s="462"/>
      <c r="F108" s="462"/>
      <c r="G108" s="483"/>
      <c r="H108" s="483"/>
    </row>
    <row r="109" spans="1:8" x14ac:dyDescent="0.3">
      <c r="A109" s="484"/>
      <c r="B109" s="462"/>
      <c r="C109" s="462"/>
      <c r="D109" s="462"/>
      <c r="E109" s="462"/>
      <c r="F109" s="462"/>
      <c r="G109" s="483"/>
      <c r="H109" s="483"/>
    </row>
    <row r="110" spans="1:8" x14ac:dyDescent="0.3">
      <c r="A110" s="484"/>
      <c r="B110" s="462"/>
      <c r="C110" s="462"/>
      <c r="D110" s="462"/>
      <c r="E110" s="462"/>
      <c r="F110" s="462"/>
      <c r="G110" s="483"/>
      <c r="H110" s="483"/>
    </row>
    <row r="111" spans="1:8" x14ac:dyDescent="0.3">
      <c r="A111" s="484"/>
      <c r="B111" s="462"/>
      <c r="C111" s="462"/>
      <c r="D111" s="462"/>
      <c r="E111" s="462"/>
      <c r="F111" s="462"/>
      <c r="G111" s="483"/>
      <c r="H111" s="483"/>
    </row>
    <row r="112" spans="1:8" x14ac:dyDescent="0.3">
      <c r="A112" s="484"/>
      <c r="B112" s="462"/>
      <c r="C112" s="462"/>
      <c r="D112" s="462"/>
      <c r="E112" s="462"/>
      <c r="F112" s="462"/>
      <c r="G112" s="483"/>
      <c r="H112" s="483"/>
    </row>
    <row r="113" spans="1:8" x14ac:dyDescent="0.3">
      <c r="A113" s="484"/>
      <c r="B113" s="484"/>
      <c r="C113" s="462"/>
      <c r="D113" s="462"/>
      <c r="E113" s="462"/>
      <c r="F113" s="462"/>
      <c r="G113" s="483"/>
      <c r="H113" s="483"/>
    </row>
    <row r="114" spans="1:8" x14ac:dyDescent="0.3">
      <c r="A114" s="484"/>
      <c r="B114" s="443"/>
      <c r="C114" s="462"/>
      <c r="D114" s="462"/>
      <c r="E114" s="462"/>
      <c r="F114" s="462"/>
      <c r="G114" s="483"/>
      <c r="H114" s="483"/>
    </row>
    <row r="115" spans="1:8" x14ac:dyDescent="0.3">
      <c r="A115" s="484"/>
      <c r="B115" s="484"/>
      <c r="C115" s="484"/>
      <c r="D115" s="484"/>
      <c r="E115" s="484"/>
      <c r="F115" s="484"/>
      <c r="G115" s="483"/>
      <c r="H115" s="483"/>
    </row>
    <row r="116" spans="1:8" x14ac:dyDescent="0.3">
      <c r="A116" s="397"/>
      <c r="B116" s="397"/>
      <c r="C116" s="461"/>
      <c r="D116" s="461"/>
      <c r="E116" s="461"/>
      <c r="F116" s="461"/>
      <c r="G116" s="483"/>
      <c r="H116" s="483"/>
    </row>
    <row r="117" spans="1:8" x14ac:dyDescent="0.3">
      <c r="A117" s="483"/>
      <c r="B117" s="483"/>
      <c r="C117" s="483"/>
      <c r="D117" s="483"/>
      <c r="E117" s="483"/>
      <c r="F117" s="483"/>
      <c r="G117" s="483"/>
      <c r="H117" s="483"/>
    </row>
    <row r="118" spans="1:8" x14ac:dyDescent="0.3">
      <c r="A118" s="483"/>
      <c r="B118" s="483"/>
      <c r="C118" s="483"/>
      <c r="D118" s="483"/>
      <c r="E118" s="483"/>
      <c r="F118" s="483"/>
      <c r="G118" s="483"/>
      <c r="H118" s="483"/>
    </row>
    <row r="119" spans="1:8" x14ac:dyDescent="0.3">
      <c r="A119" s="484"/>
      <c r="B119" s="481"/>
      <c r="C119" s="483"/>
      <c r="D119" s="483"/>
      <c r="E119" s="483"/>
      <c r="F119" s="483"/>
      <c r="G119" s="483"/>
      <c r="H119" s="483"/>
    </row>
    <row r="120" spans="1:8" x14ac:dyDescent="0.3">
      <c r="A120" s="484"/>
      <c r="B120" s="385"/>
      <c r="C120" s="483"/>
      <c r="D120" s="483"/>
      <c r="E120" s="483"/>
      <c r="F120" s="483"/>
      <c r="G120" s="483"/>
      <c r="H120" s="483"/>
    </row>
    <row r="121" spans="1:8" x14ac:dyDescent="0.3">
      <c r="A121" s="484"/>
      <c r="B121" s="385"/>
      <c r="C121" s="483"/>
      <c r="D121" s="483"/>
      <c r="E121" s="483"/>
      <c r="F121" s="483"/>
      <c r="G121" s="483"/>
      <c r="H121" s="483"/>
    </row>
    <row r="122" spans="1:8" x14ac:dyDescent="0.3">
      <c r="A122" s="484"/>
      <c r="B122" s="385"/>
      <c r="C122" s="483"/>
      <c r="D122" s="483"/>
      <c r="E122" s="483"/>
      <c r="F122" s="483"/>
      <c r="G122" s="483"/>
      <c r="H122" s="483"/>
    </row>
    <row r="123" spans="1:8" x14ac:dyDescent="0.3">
      <c r="A123" s="484"/>
      <c r="B123" s="385"/>
      <c r="C123" s="485"/>
      <c r="D123" s="483"/>
      <c r="E123" s="483"/>
      <c r="F123" s="483"/>
      <c r="G123" s="483"/>
      <c r="H123" s="483"/>
    </row>
    <row r="124" spans="1:8" x14ac:dyDescent="0.3">
      <c r="A124" s="484"/>
      <c r="B124" s="385"/>
      <c r="C124" s="483"/>
      <c r="D124" s="483"/>
      <c r="E124" s="483"/>
      <c r="F124" s="483"/>
      <c r="G124" s="483"/>
      <c r="H124" s="483"/>
    </row>
    <row r="125" spans="1:8" x14ac:dyDescent="0.3">
      <c r="A125" s="483"/>
      <c r="B125" s="483"/>
      <c r="C125" s="483"/>
      <c r="D125" s="483"/>
      <c r="E125" s="483"/>
      <c r="F125" s="483"/>
      <c r="G125" s="483"/>
      <c r="H125" s="483"/>
    </row>
    <row r="126" spans="1:8" x14ac:dyDescent="0.3">
      <c r="A126" s="483"/>
      <c r="B126" s="483"/>
      <c r="C126" s="483"/>
      <c r="D126" s="483"/>
      <c r="E126" s="483"/>
      <c r="F126" s="483"/>
      <c r="G126" s="483"/>
      <c r="H126" s="483"/>
    </row>
    <row r="127" spans="1:8" x14ac:dyDescent="0.3">
      <c r="A127" s="483"/>
      <c r="B127" s="483"/>
      <c r="C127" s="483"/>
      <c r="D127" s="483"/>
      <c r="E127" s="483"/>
      <c r="F127" s="483"/>
      <c r="G127" s="483"/>
      <c r="H127" s="483"/>
    </row>
    <row r="128" spans="1:8" x14ac:dyDescent="0.3">
      <c r="A128" s="483"/>
      <c r="B128" s="483"/>
      <c r="C128" s="483"/>
      <c r="D128" s="483"/>
      <c r="E128" s="483"/>
      <c r="F128" s="483"/>
      <c r="G128" s="483"/>
      <c r="H128" s="483"/>
    </row>
    <row r="129" spans="1:8" x14ac:dyDescent="0.3">
      <c r="A129" s="397"/>
      <c r="B129" s="481"/>
      <c r="C129" s="481"/>
      <c r="D129" s="481"/>
      <c r="E129" s="481"/>
      <c r="F129" s="483"/>
      <c r="G129" s="483"/>
      <c r="H129" s="483"/>
    </row>
    <row r="130" spans="1:8" x14ac:dyDescent="0.3">
      <c r="A130" s="484"/>
      <c r="B130" s="462"/>
      <c r="C130" s="462"/>
      <c r="D130" s="386"/>
      <c r="E130" s="462"/>
      <c r="F130" s="483"/>
      <c r="G130" s="483"/>
      <c r="H130" s="483"/>
    </row>
    <row r="131" spans="1:8" x14ac:dyDescent="0.3">
      <c r="A131" s="484"/>
      <c r="B131" s="462"/>
      <c r="C131" s="462"/>
      <c r="D131" s="386"/>
      <c r="E131" s="392"/>
      <c r="F131" s="483"/>
      <c r="G131" s="483"/>
      <c r="H131" s="483"/>
    </row>
    <row r="132" spans="1:8" x14ac:dyDescent="0.3">
      <c r="A132" s="484"/>
      <c r="B132" s="462"/>
      <c r="C132" s="462"/>
      <c r="D132" s="386"/>
      <c r="E132" s="392"/>
      <c r="F132" s="483"/>
      <c r="G132" s="483"/>
      <c r="H132" s="483"/>
    </row>
    <row r="133" spans="1:8" x14ac:dyDescent="0.3">
      <c r="A133" s="484"/>
      <c r="B133" s="462"/>
      <c r="C133" s="462"/>
      <c r="D133" s="386"/>
      <c r="E133" s="392"/>
      <c r="F133" s="483"/>
      <c r="G133" s="483"/>
      <c r="H133" s="483"/>
    </row>
    <row r="134" spans="1:8" x14ac:dyDescent="0.3">
      <c r="A134" s="484"/>
      <c r="B134" s="462"/>
      <c r="C134" s="462"/>
      <c r="D134" s="386"/>
      <c r="E134" s="392"/>
      <c r="F134" s="483"/>
      <c r="G134" s="483"/>
      <c r="H134" s="483"/>
    </row>
    <row r="135" spans="1:8" x14ac:dyDescent="0.3">
      <c r="A135" s="484"/>
      <c r="B135" s="462"/>
      <c r="C135" s="462"/>
      <c r="D135" s="386"/>
      <c r="E135" s="462"/>
      <c r="F135" s="483"/>
      <c r="G135" s="483"/>
      <c r="H135" s="483"/>
    </row>
    <row r="136" spans="1:8" x14ac:dyDescent="0.3">
      <c r="A136" s="484"/>
      <c r="B136" s="462"/>
      <c r="C136" s="462"/>
      <c r="D136" s="386"/>
      <c r="E136" s="462"/>
      <c r="F136" s="483"/>
      <c r="G136" s="483"/>
      <c r="H136" s="483"/>
    </row>
    <row r="137" spans="1:8" x14ac:dyDescent="0.3">
      <c r="A137" s="484"/>
      <c r="B137" s="462"/>
      <c r="C137" s="462"/>
      <c r="D137" s="386"/>
      <c r="E137" s="462"/>
      <c r="F137" s="483"/>
      <c r="G137" s="483"/>
      <c r="H137" s="483"/>
    </row>
    <row r="138" spans="1:8" x14ac:dyDescent="0.3">
      <c r="A138" s="484"/>
      <c r="B138" s="462"/>
      <c r="C138" s="462"/>
      <c r="D138" s="386"/>
      <c r="E138" s="462"/>
      <c r="F138" s="483"/>
      <c r="G138" s="483"/>
      <c r="H138" s="483"/>
    </row>
    <row r="139" spans="1:8" x14ac:dyDescent="0.3">
      <c r="A139" s="484"/>
      <c r="B139" s="462"/>
      <c r="C139" s="462"/>
      <c r="D139" s="462"/>
      <c r="E139" s="463"/>
      <c r="F139" s="483"/>
      <c r="G139" s="483"/>
      <c r="H139" s="483"/>
    </row>
    <row r="140" spans="1:8" x14ac:dyDescent="0.3">
      <c r="A140" s="484"/>
      <c r="B140" s="462"/>
      <c r="C140" s="462"/>
      <c r="D140" s="462"/>
      <c r="E140" s="463"/>
      <c r="F140" s="483"/>
      <c r="G140" s="483"/>
      <c r="H140" s="483"/>
    </row>
    <row r="141" spans="1:8" x14ac:dyDescent="0.3">
      <c r="A141" s="484"/>
      <c r="B141" s="484"/>
      <c r="C141" s="484"/>
      <c r="D141" s="484"/>
      <c r="E141" s="484"/>
      <c r="F141" s="483"/>
      <c r="G141" s="483"/>
      <c r="H141" s="483"/>
    </row>
    <row r="142" spans="1:8" x14ac:dyDescent="0.3">
      <c r="A142" s="484"/>
      <c r="B142" s="484"/>
      <c r="C142" s="484"/>
      <c r="D142" s="484"/>
      <c r="E142" s="484"/>
      <c r="F142" s="483"/>
      <c r="G142" s="483"/>
      <c r="H142" s="483"/>
    </row>
    <row r="143" spans="1:8" x14ac:dyDescent="0.3">
      <c r="A143" s="397"/>
      <c r="B143" s="395"/>
      <c r="C143" s="395"/>
      <c r="D143" s="395"/>
      <c r="E143" s="395"/>
      <c r="F143" s="483"/>
      <c r="G143" s="483"/>
      <c r="H143" s="483"/>
    </row>
    <row r="144" spans="1:8" x14ac:dyDescent="0.3">
      <c r="A144" s="483"/>
      <c r="B144" s="483"/>
      <c r="C144" s="483"/>
      <c r="D144" s="483"/>
      <c r="E144" s="483"/>
      <c r="F144" s="483"/>
      <c r="G144" s="483"/>
      <c r="H144" s="483"/>
    </row>
    <row r="145" spans="1:8" x14ac:dyDescent="0.3">
      <c r="A145" s="397"/>
      <c r="B145" s="481"/>
      <c r="C145" s="483"/>
      <c r="D145" s="483"/>
      <c r="E145" s="483"/>
      <c r="F145" s="483"/>
      <c r="G145" s="483"/>
      <c r="H145" s="483"/>
    </row>
    <row r="146" spans="1:8" x14ac:dyDescent="0.3">
      <c r="A146" s="484"/>
      <c r="B146" s="438"/>
      <c r="C146" s="483"/>
      <c r="D146" s="483"/>
      <c r="E146" s="483"/>
      <c r="F146" s="483"/>
      <c r="G146" s="483"/>
      <c r="H146" s="483"/>
    </row>
    <row r="147" spans="1:8" x14ac:dyDescent="0.3">
      <c r="A147" s="484"/>
      <c r="B147" s="438"/>
      <c r="C147" s="483"/>
      <c r="D147" s="483"/>
      <c r="E147" s="483"/>
      <c r="F147" s="483"/>
      <c r="G147" s="483"/>
      <c r="H147" s="483"/>
    </row>
    <row r="148" spans="1:8" x14ac:dyDescent="0.3">
      <c r="A148" s="484"/>
      <c r="B148" s="438"/>
      <c r="C148" s="483"/>
      <c r="D148" s="483"/>
      <c r="E148" s="483"/>
      <c r="F148" s="483"/>
      <c r="G148" s="483"/>
      <c r="H148" s="483"/>
    </row>
    <row r="149" spans="1:8" x14ac:dyDescent="0.3">
      <c r="A149" s="484"/>
      <c r="B149" s="438"/>
      <c r="C149" s="483"/>
      <c r="D149" s="483"/>
      <c r="E149" s="483"/>
      <c r="F149" s="483"/>
      <c r="G149" s="483"/>
      <c r="H149" s="483"/>
    </row>
    <row r="150" spans="1:8" x14ac:dyDescent="0.3">
      <c r="A150" s="484"/>
      <c r="B150" s="438"/>
      <c r="C150" s="483"/>
      <c r="D150" s="483"/>
      <c r="E150" s="483"/>
      <c r="F150" s="483"/>
      <c r="G150" s="483"/>
      <c r="H150" s="483"/>
    </row>
    <row r="151" spans="1:8" x14ac:dyDescent="0.3">
      <c r="A151" s="484"/>
      <c r="B151" s="438"/>
      <c r="C151" s="483"/>
      <c r="D151" s="483"/>
      <c r="E151" s="483"/>
      <c r="F151" s="483"/>
      <c r="G151" s="483"/>
      <c r="H151" s="483"/>
    </row>
    <row r="152" spans="1:8" x14ac:dyDescent="0.3">
      <c r="A152" s="484"/>
      <c r="B152" s="438"/>
      <c r="C152" s="483"/>
      <c r="D152" s="483"/>
      <c r="E152" s="483"/>
      <c r="F152" s="483"/>
      <c r="G152" s="483"/>
      <c r="H152" s="483"/>
    </row>
    <row r="153" spans="1:8" x14ac:dyDescent="0.3">
      <c r="A153" s="484"/>
      <c r="B153" s="438"/>
      <c r="C153" s="483"/>
      <c r="D153" s="483"/>
      <c r="E153" s="483"/>
      <c r="F153" s="483"/>
      <c r="G153" s="483"/>
      <c r="H153" s="483"/>
    </row>
    <row r="154" spans="1:8" x14ac:dyDescent="0.3">
      <c r="A154" s="484"/>
      <c r="B154" s="393"/>
      <c r="C154" s="483"/>
      <c r="D154" s="483"/>
      <c r="E154" s="483"/>
      <c r="F154" s="483"/>
      <c r="G154" s="483"/>
      <c r="H154" s="483"/>
    </row>
    <row r="155" spans="1:8" x14ac:dyDescent="0.3">
      <c r="A155" s="397"/>
      <c r="B155" s="481"/>
      <c r="C155" s="483"/>
      <c r="D155" s="483"/>
      <c r="E155" s="483"/>
      <c r="F155" s="483"/>
      <c r="G155" s="483"/>
      <c r="H155" s="483"/>
    </row>
    <row r="156" spans="1:8" x14ac:dyDescent="0.3">
      <c r="A156" s="437"/>
      <c r="B156" s="388"/>
      <c r="C156" s="483"/>
      <c r="D156" s="483"/>
      <c r="E156" s="483"/>
      <c r="F156" s="483"/>
      <c r="G156" s="483"/>
      <c r="H156" s="483"/>
    </row>
    <row r="157" spans="1:8" x14ac:dyDescent="0.3">
      <c r="A157" s="483"/>
      <c r="B157" s="432"/>
      <c r="C157" s="483"/>
      <c r="D157" s="483"/>
      <c r="E157" s="483"/>
      <c r="F157" s="483"/>
      <c r="G157" s="483"/>
      <c r="H157" s="483"/>
    </row>
    <row r="158" spans="1:8" x14ac:dyDescent="0.3">
      <c r="A158" s="397"/>
      <c r="B158" s="481"/>
      <c r="C158" s="483"/>
      <c r="D158" s="483"/>
      <c r="E158" s="483"/>
      <c r="F158" s="483"/>
      <c r="G158" s="483"/>
      <c r="H158" s="483"/>
    </row>
    <row r="159" spans="1:8" x14ac:dyDescent="0.3">
      <c r="A159" s="484"/>
      <c r="B159" s="390"/>
      <c r="C159" s="483"/>
      <c r="D159" s="483"/>
      <c r="E159" s="483"/>
      <c r="F159" s="483"/>
      <c r="G159" s="483"/>
      <c r="H159" s="483"/>
    </row>
    <row r="160" spans="1:8" x14ac:dyDescent="0.3">
      <c r="A160" s="484"/>
      <c r="B160" s="390"/>
      <c r="C160" s="483"/>
      <c r="D160" s="483"/>
      <c r="E160" s="483"/>
      <c r="F160" s="483"/>
      <c r="G160" s="483"/>
      <c r="H160" s="483"/>
    </row>
    <row r="161" spans="1:8" x14ac:dyDescent="0.3">
      <c r="A161" s="484"/>
      <c r="B161" s="390"/>
      <c r="C161" s="483"/>
      <c r="D161" s="483"/>
      <c r="E161" s="483"/>
      <c r="F161" s="483"/>
      <c r="G161" s="483"/>
      <c r="H161" s="483"/>
    </row>
    <row r="162" spans="1:8" x14ac:dyDescent="0.3">
      <c r="A162" s="484"/>
      <c r="B162" s="390"/>
      <c r="C162" s="483"/>
      <c r="D162" s="483"/>
      <c r="E162" s="483"/>
      <c r="F162" s="483"/>
      <c r="G162" s="483"/>
      <c r="H162" s="483"/>
    </row>
    <row r="163" spans="1:8" x14ac:dyDescent="0.3">
      <c r="A163" s="484"/>
      <c r="B163" s="390"/>
      <c r="C163" s="483"/>
      <c r="D163" s="483"/>
      <c r="E163" s="483"/>
      <c r="F163" s="483"/>
      <c r="G163" s="483"/>
      <c r="H163" s="483"/>
    </row>
    <row r="164" spans="1:8" x14ac:dyDescent="0.3">
      <c r="A164" s="484"/>
      <c r="B164" s="390"/>
      <c r="C164" s="483"/>
      <c r="D164" s="483"/>
      <c r="E164" s="483"/>
      <c r="F164" s="483"/>
      <c r="G164" s="483"/>
      <c r="H164" s="483"/>
    </row>
    <row r="165" spans="1:8" x14ac:dyDescent="0.3">
      <c r="A165" s="484"/>
      <c r="B165" s="393"/>
      <c r="C165" s="483"/>
      <c r="D165" s="483"/>
      <c r="E165" s="483"/>
      <c r="F165" s="483"/>
      <c r="G165" s="483"/>
      <c r="H165" s="483"/>
    </row>
    <row r="166" spans="1:8" x14ac:dyDescent="0.3">
      <c r="A166" s="397"/>
      <c r="B166" s="446"/>
      <c r="C166" s="483"/>
      <c r="D166" s="483"/>
      <c r="E166" s="483"/>
      <c r="F166" s="483"/>
      <c r="G166" s="483"/>
      <c r="H166" s="483"/>
    </row>
    <row r="167" spans="1:8" x14ac:dyDescent="0.3">
      <c r="A167" s="483"/>
      <c r="B167" s="483"/>
      <c r="C167" s="483"/>
      <c r="D167" s="483"/>
      <c r="E167" s="483"/>
      <c r="F167" s="483"/>
      <c r="G167" s="483"/>
      <c r="H167" s="483"/>
    </row>
    <row r="168" spans="1:8" x14ac:dyDescent="0.3">
      <c r="A168" s="483"/>
      <c r="B168" s="483"/>
      <c r="C168" s="483"/>
      <c r="D168" s="483"/>
      <c r="E168" s="483"/>
      <c r="F168" s="483"/>
      <c r="G168" s="483"/>
      <c r="H168" s="483"/>
    </row>
    <row r="169" spans="1:8" x14ac:dyDescent="0.3">
      <c r="A169" s="483"/>
      <c r="B169" s="483"/>
      <c r="C169" s="483"/>
      <c r="D169" s="483"/>
      <c r="E169" s="483"/>
      <c r="F169" s="483"/>
      <c r="G169" s="483"/>
      <c r="H169" s="483"/>
    </row>
    <row r="170" spans="1:8" x14ac:dyDescent="0.3">
      <c r="A170" s="483"/>
      <c r="B170" s="483"/>
      <c r="C170" s="483"/>
      <c r="D170" s="483"/>
      <c r="E170" s="483"/>
      <c r="F170" s="483"/>
      <c r="G170" s="483"/>
      <c r="H170" s="483"/>
    </row>
    <row r="171" spans="1:8" x14ac:dyDescent="0.3">
      <c r="A171" s="483"/>
      <c r="B171" s="483"/>
      <c r="C171" s="483"/>
      <c r="D171" s="483"/>
      <c r="E171" s="483"/>
      <c r="F171" s="483"/>
      <c r="G171" s="483"/>
      <c r="H171" s="483"/>
    </row>
    <row r="172" spans="1:8" x14ac:dyDescent="0.3">
      <c r="A172" s="483"/>
      <c r="B172" s="483"/>
      <c r="C172" s="483"/>
      <c r="D172" s="483"/>
      <c r="E172" s="483"/>
      <c r="F172" s="483"/>
      <c r="G172" s="483"/>
      <c r="H172" s="483"/>
    </row>
    <row r="173" spans="1:8" x14ac:dyDescent="0.3">
      <c r="A173" s="483"/>
      <c r="B173" s="483"/>
      <c r="C173" s="483"/>
      <c r="D173" s="483"/>
      <c r="E173" s="483"/>
      <c r="F173" s="483"/>
      <c r="G173" s="483"/>
      <c r="H173" s="483"/>
    </row>
    <row r="174" spans="1:8" x14ac:dyDescent="0.3">
      <c r="A174" s="483"/>
      <c r="B174" s="483"/>
      <c r="C174" s="483"/>
      <c r="D174" s="483"/>
      <c r="E174" s="483"/>
      <c r="F174" s="483"/>
      <c r="G174" s="483"/>
      <c r="H174" s="483"/>
    </row>
    <row r="175" spans="1:8" x14ac:dyDescent="0.3">
      <c r="A175" s="483"/>
      <c r="B175" s="483"/>
      <c r="C175" s="483"/>
      <c r="D175" s="483"/>
      <c r="E175" s="483"/>
      <c r="F175" s="483"/>
      <c r="G175" s="483"/>
      <c r="H175" s="483"/>
    </row>
    <row r="176" spans="1:8" x14ac:dyDescent="0.3">
      <c r="A176" s="483"/>
      <c r="B176" s="483"/>
      <c r="C176" s="483"/>
      <c r="D176" s="483"/>
      <c r="E176" s="483"/>
      <c r="F176" s="483"/>
      <c r="G176" s="483"/>
      <c r="H176" s="483"/>
    </row>
    <row r="177" spans="1:8" x14ac:dyDescent="0.3">
      <c r="A177" s="483"/>
      <c r="B177" s="483"/>
      <c r="C177" s="483"/>
      <c r="D177" s="483"/>
      <c r="E177" s="483"/>
      <c r="F177" s="483"/>
      <c r="G177" s="483"/>
      <c r="H177" s="483"/>
    </row>
    <row r="178" spans="1:8" x14ac:dyDescent="0.3">
      <c r="A178" s="483"/>
      <c r="B178" s="483"/>
      <c r="C178" s="483"/>
      <c r="D178" s="483"/>
      <c r="E178" s="483"/>
      <c r="F178" s="483"/>
      <c r="G178" s="483"/>
      <c r="H178" s="483"/>
    </row>
    <row r="179" spans="1:8" x14ac:dyDescent="0.3">
      <c r="A179" s="483"/>
      <c r="B179" s="483"/>
      <c r="C179" s="483"/>
      <c r="D179" s="483"/>
      <c r="E179" s="483"/>
      <c r="F179" s="483"/>
      <c r="G179" s="483"/>
      <c r="H179" s="483"/>
    </row>
    <row r="180" spans="1:8" x14ac:dyDescent="0.3">
      <c r="A180" s="483"/>
      <c r="B180" s="483"/>
      <c r="C180" s="483"/>
      <c r="D180" s="483"/>
      <c r="E180" s="483"/>
      <c r="F180" s="483"/>
      <c r="G180" s="483"/>
      <c r="H180" s="483"/>
    </row>
  </sheetData>
  <sortState ref="A44:A47">
    <sortCondition descending="1" ref="A47"/>
  </sortState>
  <mergeCells count="13">
    <mergeCell ref="A5:A6"/>
    <mergeCell ref="F77:G77"/>
    <mergeCell ref="A77:A78"/>
    <mergeCell ref="F90:G90"/>
    <mergeCell ref="B90:C90"/>
    <mergeCell ref="D90:E90"/>
    <mergeCell ref="A50:A51"/>
    <mergeCell ref="A63:A64"/>
    <mergeCell ref="B77:C77"/>
    <mergeCell ref="D77:E77"/>
    <mergeCell ref="F35:G35"/>
    <mergeCell ref="B35:C35"/>
    <mergeCell ref="D35:E35"/>
  </mergeCell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29"/>
  <sheetViews>
    <sheetView zoomScale="70" zoomScaleNormal="70" workbookViewId="0">
      <selection activeCell="F28" sqref="F28"/>
    </sheetView>
  </sheetViews>
  <sheetFormatPr defaultRowHeight="14.4" x14ac:dyDescent="0.3"/>
  <cols>
    <col min="1" max="1" width="5.44140625" customWidth="1"/>
    <col min="2" max="2" width="21.44140625" customWidth="1"/>
    <col min="3" max="3" width="16.44140625" customWidth="1"/>
    <col min="4" max="5" width="14" bestFit="1" customWidth="1"/>
    <col min="6" max="6" width="13.5546875" bestFit="1" customWidth="1"/>
    <col min="7" max="7" width="11.44140625" bestFit="1" customWidth="1"/>
    <col min="8" max="8" width="11.109375" bestFit="1" customWidth="1"/>
    <col min="10" max="10" width="9.109375" style="72"/>
    <col min="15" max="16" width="11.44140625" customWidth="1"/>
    <col min="17" max="17" width="11" customWidth="1"/>
    <col min="18" max="18" width="12.44140625" customWidth="1"/>
  </cols>
  <sheetData>
    <row r="1" spans="1:19" x14ac:dyDescent="0.25">
      <c r="A1" s="535" t="s">
        <v>372</v>
      </c>
    </row>
    <row r="2" spans="1:19" s="59" customFormat="1" x14ac:dyDescent="0.25">
      <c r="J2" s="72"/>
    </row>
    <row r="3" spans="1:19" s="59" customFormat="1" x14ac:dyDescent="0.25">
      <c r="A3" s="60" t="s">
        <v>117</v>
      </c>
      <c r="D3" s="59" t="s">
        <v>68</v>
      </c>
      <c r="E3" s="59">
        <v>1</v>
      </c>
      <c r="F3" s="59">
        <v>10</v>
      </c>
      <c r="G3" s="59">
        <v>50</v>
      </c>
      <c r="H3" s="59">
        <v>100</v>
      </c>
      <c r="J3" s="72"/>
    </row>
    <row r="4" spans="1:19" s="59" customFormat="1" x14ac:dyDescent="0.25">
      <c r="B4" s="59">
        <v>2.4</v>
      </c>
      <c r="C4" s="59" t="s">
        <v>57</v>
      </c>
      <c r="E4" s="598">
        <f>D18</f>
        <v>9360</v>
      </c>
      <c r="F4" s="598">
        <f t="shared" ref="F4:H4" si="0">E18</f>
        <v>52800</v>
      </c>
      <c r="G4" s="598">
        <f t="shared" si="0"/>
        <v>151200</v>
      </c>
      <c r="H4" s="598">
        <f t="shared" si="0"/>
        <v>271200</v>
      </c>
      <c r="J4" s="72"/>
    </row>
    <row r="5" spans="1:19" s="59" customFormat="1" x14ac:dyDescent="0.25">
      <c r="J5" s="72"/>
    </row>
    <row r="6" spans="1:19" s="533" customFormat="1" x14ac:dyDescent="0.25"/>
    <row r="7" spans="1:19" s="59" customFormat="1" x14ac:dyDescent="0.25">
      <c r="A7" s="59" t="s">
        <v>462</v>
      </c>
      <c r="J7" s="72"/>
    </row>
    <row r="8" spans="1:19" s="59" customFormat="1" x14ac:dyDescent="0.25">
      <c r="B8" s="59" t="s">
        <v>463</v>
      </c>
      <c r="D8" s="59">
        <v>72</v>
      </c>
      <c r="E8" s="59" t="s">
        <v>464</v>
      </c>
      <c r="J8" s="72"/>
    </row>
    <row r="9" spans="1:19" x14ac:dyDescent="0.25">
      <c r="B9" t="s">
        <v>465</v>
      </c>
      <c r="D9" s="489">
        <f>3*30*24</f>
        <v>2160</v>
      </c>
    </row>
    <row r="10" spans="1:19" x14ac:dyDescent="0.25">
      <c r="A10" s="594"/>
      <c r="B10" s="594"/>
      <c r="C10" s="594"/>
      <c r="D10" s="594"/>
      <c r="E10" s="594"/>
      <c r="F10" s="594"/>
      <c r="G10" s="594"/>
      <c r="H10" s="594"/>
      <c r="I10" s="594"/>
      <c r="J10" s="594"/>
      <c r="K10" s="594"/>
      <c r="L10" s="594"/>
      <c r="M10" s="594"/>
      <c r="N10" s="594"/>
      <c r="O10" s="594"/>
      <c r="P10" s="594"/>
      <c r="Q10" s="594"/>
      <c r="R10" s="594"/>
      <c r="S10" s="594"/>
    </row>
    <row r="11" spans="1:19" x14ac:dyDescent="0.25">
      <c r="A11" s="533" t="s">
        <v>455</v>
      </c>
      <c r="B11" s="533"/>
      <c r="C11" s="624"/>
      <c r="D11" s="533"/>
      <c r="E11" s="594"/>
      <c r="F11" s="594"/>
      <c r="G11" s="594"/>
      <c r="H11" s="594"/>
      <c r="I11" s="594"/>
      <c r="J11" s="594"/>
      <c r="K11" s="594"/>
      <c r="L11" s="594"/>
      <c r="M11" s="594"/>
      <c r="N11" s="594"/>
      <c r="O11" s="594"/>
      <c r="P11" s="594"/>
      <c r="Q11" s="594"/>
      <c r="R11" s="594"/>
      <c r="S11" s="594"/>
    </row>
    <row r="12" spans="1:19" x14ac:dyDescent="0.25">
      <c r="A12" s="533"/>
      <c r="B12" s="533" t="s">
        <v>456</v>
      </c>
      <c r="D12" s="489">
        <v>24000</v>
      </c>
      <c r="E12" s="533" t="s">
        <v>457</v>
      </c>
      <c r="F12" s="518"/>
      <c r="G12" s="585"/>
      <c r="H12" s="514"/>
      <c r="I12" s="514"/>
      <c r="J12" s="514"/>
      <c r="K12" s="37"/>
      <c r="L12" s="514"/>
      <c r="M12" s="514"/>
      <c r="N12" s="594"/>
      <c r="O12" s="595"/>
      <c r="P12" s="595"/>
      <c r="Q12" s="595"/>
      <c r="R12" s="595"/>
      <c r="S12" s="594"/>
    </row>
    <row r="13" spans="1:19" s="533" customFormat="1" x14ac:dyDescent="0.25">
      <c r="B13" s="533" t="s">
        <v>468</v>
      </c>
      <c r="D13" s="489">
        <f>500*12</f>
        <v>6000</v>
      </c>
      <c r="E13" s="533" t="s">
        <v>469</v>
      </c>
      <c r="F13" s="518"/>
      <c r="G13" s="585"/>
      <c r="H13" s="514"/>
      <c r="I13" s="514"/>
      <c r="J13" s="514"/>
      <c r="K13" s="37"/>
      <c r="L13" s="514"/>
      <c r="M13" s="514"/>
      <c r="N13" s="594"/>
      <c r="O13" s="595"/>
      <c r="P13" s="595"/>
      <c r="Q13" s="595"/>
      <c r="R13" s="595"/>
      <c r="S13" s="594"/>
    </row>
    <row r="14" spans="1:19" x14ac:dyDescent="0.25">
      <c r="A14" s="533"/>
      <c r="B14" s="533" t="s">
        <v>470</v>
      </c>
      <c r="D14" s="489">
        <f>30%*D12</f>
        <v>7200</v>
      </c>
      <c r="E14" s="533"/>
      <c r="F14" s="584"/>
      <c r="G14" s="508"/>
      <c r="H14" s="508"/>
      <c r="I14" s="508"/>
      <c r="J14" s="584"/>
      <c r="K14" s="508"/>
      <c r="L14" s="508"/>
      <c r="M14" s="508"/>
      <c r="N14" s="594"/>
      <c r="O14" s="594"/>
      <c r="P14" s="594"/>
      <c r="Q14" s="594"/>
      <c r="R14" s="594"/>
      <c r="S14" s="594"/>
    </row>
    <row r="15" spans="1:19" s="533" customFormat="1" x14ac:dyDescent="0.25">
      <c r="A15" s="594"/>
      <c r="B15" s="583"/>
      <c r="C15" s="553"/>
      <c r="D15" s="627"/>
      <c r="E15" s="581"/>
      <c r="F15" s="555"/>
      <c r="G15" s="582"/>
      <c r="H15" s="582"/>
      <c r="I15" s="582"/>
      <c r="J15" s="554"/>
      <c r="K15" s="580"/>
      <c r="L15" s="580"/>
      <c r="M15" s="580"/>
      <c r="N15" s="90"/>
      <c r="O15" s="90"/>
      <c r="P15" s="594"/>
      <c r="Q15" s="594"/>
      <c r="R15" s="594"/>
      <c r="S15" s="594"/>
    </row>
    <row r="16" spans="1:19" x14ac:dyDescent="0.25">
      <c r="A16" s="594"/>
      <c r="B16" s="583"/>
      <c r="C16" s="579"/>
      <c r="D16" s="582"/>
      <c r="E16" s="630" t="s">
        <v>467</v>
      </c>
      <c r="F16" s="631" t="s">
        <v>68</v>
      </c>
      <c r="G16" s="582"/>
      <c r="H16" s="582"/>
      <c r="I16" s="582"/>
      <c r="J16" s="580"/>
      <c r="K16" s="580"/>
      <c r="L16" s="580"/>
      <c r="M16" s="580"/>
      <c r="N16" s="90"/>
      <c r="O16" s="90"/>
      <c r="P16" s="594"/>
      <c r="Q16" s="90"/>
      <c r="R16" s="90"/>
      <c r="S16" s="594"/>
    </row>
    <row r="17" spans="1:19" s="533" customFormat="1" x14ac:dyDescent="0.25">
      <c r="B17" s="583"/>
      <c r="C17" s="579"/>
      <c r="D17" s="628">
        <v>1</v>
      </c>
      <c r="E17" s="629">
        <v>10</v>
      </c>
      <c r="F17" s="628">
        <v>50</v>
      </c>
      <c r="G17" s="628">
        <v>100</v>
      </c>
      <c r="H17" s="582"/>
      <c r="I17" s="582"/>
      <c r="J17" s="580"/>
      <c r="K17" s="580"/>
      <c r="L17" s="580"/>
      <c r="M17" s="580"/>
      <c r="N17" s="90"/>
      <c r="O17" s="90"/>
      <c r="P17" s="594"/>
      <c r="Q17" s="90"/>
      <c r="R17" s="90"/>
      <c r="S17" s="594"/>
    </row>
    <row r="18" spans="1:19" x14ac:dyDescent="0.25">
      <c r="A18" s="82" t="s">
        <v>466</v>
      </c>
      <c r="B18" s="632"/>
      <c r="C18" s="633"/>
      <c r="D18" s="634">
        <f>D9+D14</f>
        <v>9360</v>
      </c>
      <c r="E18" s="635">
        <f>($D14+$D12)+$D9*E17</f>
        <v>52800</v>
      </c>
      <c r="F18" s="635">
        <f>($D14+$D12)+$D9*F17+2*D13</f>
        <v>151200</v>
      </c>
      <c r="G18" s="635">
        <f>($D14+$D12)+$D9*G17+4*D13</f>
        <v>271200</v>
      </c>
      <c r="H18" s="582"/>
      <c r="I18" s="582"/>
      <c r="J18" s="580"/>
      <c r="K18" s="580"/>
      <c r="L18" s="580"/>
      <c r="M18" s="580"/>
      <c r="N18" s="90"/>
      <c r="O18" s="90"/>
      <c r="P18" s="594"/>
      <c r="Q18" s="594"/>
      <c r="R18" s="594"/>
      <c r="S18" s="594"/>
    </row>
    <row r="19" spans="1:19" x14ac:dyDescent="0.25">
      <c r="A19" s="594"/>
      <c r="B19" s="577"/>
      <c r="C19" s="506"/>
      <c r="D19" s="585"/>
      <c r="E19" s="578"/>
      <c r="F19" s="512"/>
      <c r="G19" s="512"/>
      <c r="H19" s="512"/>
      <c r="I19" s="512"/>
      <c r="J19" s="520"/>
      <c r="K19" s="522"/>
      <c r="L19" s="522"/>
      <c r="M19" s="522"/>
      <c r="N19" s="594"/>
      <c r="O19" s="594"/>
      <c r="P19" s="594"/>
      <c r="Q19" s="594"/>
      <c r="R19" s="594"/>
      <c r="S19" s="594"/>
    </row>
    <row r="20" spans="1:19" s="72" customFormat="1" x14ac:dyDescent="0.25">
      <c r="B20" s="275"/>
    </row>
    <row r="21" spans="1:19" s="317" customFormat="1" x14ac:dyDescent="0.25">
      <c r="A21" s="241" t="s">
        <v>170</v>
      </c>
    </row>
    <row r="22" spans="1:19" s="317" customFormat="1" x14ac:dyDescent="0.25">
      <c r="A22" s="317">
        <v>2.4</v>
      </c>
      <c r="B22" s="594" t="s">
        <v>471</v>
      </c>
    </row>
    <row r="23" spans="1:19" s="533" customFormat="1" x14ac:dyDescent="0.25">
      <c r="B23" s="594" t="s">
        <v>472</v>
      </c>
    </row>
    <row r="24" spans="1:19" s="317" customFormat="1" x14ac:dyDescent="0.25"/>
    <row r="25" spans="1:19" s="317" customFormat="1" x14ac:dyDescent="0.25">
      <c r="A25" s="241" t="s">
        <v>283</v>
      </c>
    </row>
    <row r="26" spans="1:19" s="317" customFormat="1" x14ac:dyDescent="0.25">
      <c r="A26" s="317">
        <v>2.4</v>
      </c>
      <c r="B26" s="317" t="s">
        <v>545</v>
      </c>
    </row>
    <row r="27" spans="1:19" s="317" customFormat="1" x14ac:dyDescent="0.25"/>
    <row r="28" spans="1:19" s="72" customFormat="1" x14ac:dyDescent="0.25">
      <c r="B28" s="275"/>
    </row>
    <row r="29" spans="1:19" x14ac:dyDescent="0.25">
      <c r="B29" s="318"/>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42"/>
  <sheetViews>
    <sheetView zoomScale="70" zoomScaleNormal="70" workbookViewId="0">
      <selection activeCell="B24" sqref="B24"/>
    </sheetView>
  </sheetViews>
  <sheetFormatPr defaultRowHeight="14.4" x14ac:dyDescent="0.3"/>
  <cols>
    <col min="1" max="1" width="6.109375" customWidth="1"/>
    <col min="2" max="2" width="5.88671875" customWidth="1"/>
    <col min="3" max="3" width="17" customWidth="1"/>
    <col min="4" max="4" width="23" customWidth="1"/>
    <col min="5" max="5" width="23.44140625" customWidth="1"/>
    <col min="6" max="6" width="16.88671875" customWidth="1"/>
    <col min="7" max="7" width="14.6640625" bestFit="1" customWidth="1"/>
    <col min="8" max="8" width="15.109375" style="72" bestFit="1" customWidth="1"/>
    <col min="9" max="9" width="16.5546875" style="72" bestFit="1" customWidth="1"/>
    <col min="10" max="10" width="14.44140625" style="72" customWidth="1"/>
    <col min="11" max="11" width="13.109375" customWidth="1"/>
    <col min="12" max="12" width="14.5546875" customWidth="1"/>
    <col min="13" max="13" width="17.109375" customWidth="1"/>
    <col min="14" max="14" width="20" customWidth="1"/>
    <col min="15" max="15" width="14.88671875" customWidth="1"/>
    <col min="16" max="16" width="13.33203125" customWidth="1"/>
    <col min="17" max="17" width="10.6640625" customWidth="1"/>
    <col min="18" max="18" width="11.44140625" customWidth="1"/>
    <col min="19" max="19" width="12.6640625" customWidth="1"/>
    <col min="20" max="20" width="12.44140625" customWidth="1"/>
    <col min="21" max="21" width="11.44140625" customWidth="1"/>
    <col min="22" max="22" width="16.109375" customWidth="1"/>
    <col min="23" max="23" width="13.6640625" customWidth="1"/>
  </cols>
  <sheetData>
    <row r="1" spans="1:10" x14ac:dyDescent="0.25">
      <c r="A1" s="60" t="s">
        <v>373</v>
      </c>
      <c r="C1" s="38"/>
      <c r="D1" s="38"/>
      <c r="E1" s="38"/>
      <c r="F1" s="38"/>
    </row>
    <row r="2" spans="1:10" s="72" customFormat="1" x14ac:dyDescent="0.25">
      <c r="A2" s="60"/>
    </row>
    <row r="3" spans="1:10" x14ac:dyDescent="0.25">
      <c r="E3" s="680" t="s">
        <v>160</v>
      </c>
      <c r="F3" s="680"/>
      <c r="G3" s="680"/>
      <c r="H3" s="680"/>
    </row>
    <row r="4" spans="1:10" x14ac:dyDescent="0.25">
      <c r="A4" s="60" t="s">
        <v>117</v>
      </c>
      <c r="E4" s="47">
        <v>1</v>
      </c>
      <c r="F4" s="47">
        <v>10</v>
      </c>
      <c r="G4" s="47">
        <v>50</v>
      </c>
      <c r="H4" s="47">
        <v>100</v>
      </c>
      <c r="I4" s="64"/>
      <c r="J4" s="64"/>
    </row>
    <row r="5" spans="1:10" x14ac:dyDescent="0.25">
      <c r="B5">
        <v>2.5</v>
      </c>
      <c r="C5" t="s">
        <v>58</v>
      </c>
      <c r="E5" s="42">
        <f>E15</f>
        <v>16101.615055999999</v>
      </c>
      <c r="F5" s="598">
        <f t="shared" ref="F5:H5" si="0">F15</f>
        <v>64075.216582113033</v>
      </c>
      <c r="G5" s="598">
        <f t="shared" si="0"/>
        <v>186064.91611262274</v>
      </c>
      <c r="H5" s="598">
        <f t="shared" si="0"/>
        <v>301859.0261026168</v>
      </c>
      <c r="I5" s="46"/>
      <c r="J5" s="46"/>
    </row>
    <row r="9" spans="1:10" x14ac:dyDescent="0.25">
      <c r="A9" t="s">
        <v>473</v>
      </c>
      <c r="B9" s="469"/>
      <c r="C9" s="38"/>
      <c r="D9" s="48">
        <v>1.9E-2</v>
      </c>
      <c r="E9" s="38" t="s">
        <v>474</v>
      </c>
      <c r="F9" s="38"/>
    </row>
    <row r="10" spans="1:10" s="72" customFormat="1" x14ac:dyDescent="0.25">
      <c r="B10" s="469"/>
      <c r="E10" s="472"/>
      <c r="F10" s="472"/>
      <c r="G10" s="472"/>
      <c r="H10" s="472"/>
      <c r="I10" s="465"/>
      <c r="J10" s="465"/>
    </row>
    <row r="11" spans="1:10" s="72" customFormat="1" x14ac:dyDescent="0.25">
      <c r="A11" s="72" t="s">
        <v>475</v>
      </c>
      <c r="B11" s="469"/>
      <c r="E11" s="548">
        <v>1</v>
      </c>
      <c r="F11" s="548">
        <v>10</v>
      </c>
      <c r="G11" s="548">
        <v>50</v>
      </c>
      <c r="H11" s="548">
        <v>100</v>
      </c>
      <c r="I11" s="465"/>
      <c r="J11" s="465"/>
    </row>
    <row r="12" spans="1:10" s="72" customFormat="1" x14ac:dyDescent="0.25">
      <c r="B12" s="469" t="s">
        <v>476</v>
      </c>
      <c r="E12" s="473">
        <f>'1.5'!G19</f>
        <v>847453.424</v>
      </c>
      <c r="F12" s="473">
        <f>'1.5'!H19</f>
        <v>3372379.8201112123</v>
      </c>
      <c r="G12" s="473">
        <f>'1.5'!I19</f>
        <v>9792890.3217169866</v>
      </c>
      <c r="H12" s="473">
        <f>'1.5'!J19</f>
        <v>15887317.163295621</v>
      </c>
      <c r="I12" s="469"/>
      <c r="J12" s="469"/>
    </row>
    <row r="13" spans="1:10" s="72" customFormat="1" x14ac:dyDescent="0.25">
      <c r="B13" s="469" t="s">
        <v>473</v>
      </c>
      <c r="E13" s="470">
        <v>1.9E-2</v>
      </c>
      <c r="F13" s="470">
        <v>1.9E-2</v>
      </c>
      <c r="G13" s="470">
        <v>1.9E-2</v>
      </c>
      <c r="H13" s="470">
        <v>1.9E-2</v>
      </c>
      <c r="I13" s="469"/>
      <c r="J13" s="469"/>
    </row>
    <row r="14" spans="1:10" s="72" customFormat="1" x14ac:dyDescent="0.25"/>
    <row r="15" spans="1:10" s="72" customFormat="1" x14ac:dyDescent="0.25">
      <c r="B15" s="351" t="s">
        <v>86</v>
      </c>
      <c r="C15" s="351"/>
      <c r="D15" s="351"/>
      <c r="E15" s="354">
        <f>E13*E12</f>
        <v>16101.615055999999</v>
      </c>
      <c r="F15" s="354">
        <f t="shared" ref="F15:G15" si="1">F13*F12</f>
        <v>64075.216582113033</v>
      </c>
      <c r="G15" s="354">
        <f t="shared" si="1"/>
        <v>186064.91611262274</v>
      </c>
      <c r="H15" s="354">
        <f>H13*H12</f>
        <v>301859.0261026168</v>
      </c>
    </row>
    <row r="16" spans="1:10" s="72" customFormat="1" x14ac:dyDescent="0.25">
      <c r="B16" s="534"/>
      <c r="C16" s="534"/>
      <c r="D16" s="534"/>
      <c r="E16" s="534"/>
      <c r="F16" s="546"/>
      <c r="G16" s="546"/>
      <c r="H16" s="546"/>
      <c r="I16" s="546"/>
    </row>
    <row r="17" spans="1:12" s="72" customFormat="1" x14ac:dyDescent="0.25"/>
    <row r="18" spans="1:12" s="72" customFormat="1" x14ac:dyDescent="0.25">
      <c r="A18" s="241" t="s">
        <v>170</v>
      </c>
    </row>
    <row r="19" spans="1:12" s="533" customFormat="1" x14ac:dyDescent="0.25">
      <c r="A19" s="494">
        <v>2.5</v>
      </c>
      <c r="B19" s="533" t="s">
        <v>576</v>
      </c>
    </row>
    <row r="20" spans="1:12" x14ac:dyDescent="0.25">
      <c r="A20" s="317"/>
      <c r="B20" s="469" t="s">
        <v>577</v>
      </c>
    </row>
    <row r="21" spans="1:12" s="72" customFormat="1" x14ac:dyDescent="0.25">
      <c r="A21" s="317"/>
      <c r="B21" s="262"/>
      <c r="C21" s="262"/>
      <c r="D21" s="262"/>
      <c r="E21" s="263"/>
      <c r="F21" s="31"/>
      <c r="G21" s="31"/>
      <c r="H21" s="31"/>
      <c r="I21" s="31"/>
      <c r="J21" s="31"/>
      <c r="K21" s="264"/>
      <c r="L21" s="90"/>
    </row>
    <row r="22" spans="1:12" s="72" customFormat="1" x14ac:dyDescent="0.25">
      <c r="A22" s="241" t="s">
        <v>283</v>
      </c>
      <c r="B22" s="262"/>
      <c r="C22" s="262"/>
      <c r="D22" s="262"/>
      <c r="E22" s="263"/>
      <c r="F22" s="31"/>
      <c r="G22" s="31"/>
      <c r="H22" s="31"/>
      <c r="I22" s="31"/>
      <c r="J22" s="31"/>
      <c r="K22" s="264"/>
      <c r="L22" s="90"/>
    </row>
    <row r="23" spans="1:12" s="72" customFormat="1" x14ac:dyDescent="0.25">
      <c r="A23" s="72">
        <v>2.5</v>
      </c>
      <c r="B23" s="245" t="s">
        <v>578</v>
      </c>
      <c r="C23" s="245"/>
      <c r="D23" s="245"/>
      <c r="E23" s="245"/>
      <c r="F23" s="31"/>
      <c r="G23" s="31"/>
      <c r="H23" s="31"/>
      <c r="I23" s="31"/>
      <c r="J23" s="31"/>
      <c r="K23" s="264"/>
      <c r="L23" s="90"/>
    </row>
    <row r="24" spans="1:12" s="72" customFormat="1" x14ac:dyDescent="0.25">
      <c r="B24" s="245"/>
      <c r="C24" s="245"/>
      <c r="D24" s="245"/>
      <c r="E24" s="245"/>
      <c r="F24" s="31"/>
      <c r="G24" s="31"/>
      <c r="H24" s="31"/>
      <c r="I24" s="31"/>
      <c r="J24" s="31"/>
      <c r="K24" s="264"/>
      <c r="L24" s="90"/>
    </row>
    <row r="25" spans="1:12" s="72" customFormat="1" x14ac:dyDescent="0.25">
      <c r="B25" s="245"/>
      <c r="C25" s="245"/>
      <c r="D25" s="245"/>
      <c r="E25" s="245"/>
      <c r="F25" s="31"/>
      <c r="G25" s="31"/>
      <c r="H25" s="31"/>
      <c r="I25" s="31"/>
      <c r="J25" s="31"/>
      <c r="K25" s="264"/>
      <c r="L25" s="90"/>
    </row>
    <row r="26" spans="1:12" s="72" customFormat="1" x14ac:dyDescent="0.25">
      <c r="B26" s="245"/>
      <c r="C26" s="245"/>
      <c r="D26" s="245"/>
      <c r="E26" s="245"/>
      <c r="F26" s="31"/>
      <c r="G26" s="31"/>
      <c r="H26" s="31"/>
      <c r="I26" s="31"/>
      <c r="J26" s="31"/>
      <c r="K26" s="264"/>
      <c r="L26" s="90"/>
    </row>
    <row r="27" spans="1:12" s="72" customFormat="1" x14ac:dyDescent="0.25">
      <c r="A27" s="24"/>
      <c r="B27" s="245"/>
      <c r="C27" s="245"/>
      <c r="D27" s="245"/>
      <c r="E27" s="245"/>
      <c r="F27" s="31"/>
      <c r="G27" s="31"/>
      <c r="H27" s="31"/>
      <c r="I27" s="31"/>
      <c r="J27" s="31"/>
      <c r="K27" s="264"/>
      <c r="L27" s="90"/>
    </row>
    <row r="28" spans="1:12" s="72" customFormat="1" x14ac:dyDescent="0.25">
      <c r="B28" s="245"/>
      <c r="C28" s="245"/>
      <c r="D28" s="245"/>
      <c r="E28" s="245"/>
      <c r="F28" s="31"/>
      <c r="G28" s="31"/>
      <c r="H28" s="31"/>
      <c r="I28" s="31"/>
      <c r="J28" s="31"/>
      <c r="K28" s="264"/>
      <c r="L28" s="90"/>
    </row>
    <row r="29" spans="1:12" s="72" customFormat="1" x14ac:dyDescent="0.25">
      <c r="B29" s="245"/>
      <c r="C29" s="245"/>
      <c r="D29" s="245"/>
      <c r="E29" s="245"/>
      <c r="F29" s="31"/>
      <c r="G29" s="31"/>
      <c r="H29" s="31"/>
      <c r="I29" s="31"/>
      <c r="J29" s="31"/>
      <c r="K29" s="264"/>
      <c r="L29" s="90"/>
    </row>
    <row r="30" spans="1:12" s="72" customFormat="1" x14ac:dyDescent="0.25">
      <c r="B30" s="245"/>
      <c r="C30" s="245"/>
      <c r="D30" s="245"/>
      <c r="E30" s="245"/>
      <c r="F30" s="31"/>
      <c r="G30" s="31"/>
      <c r="H30" s="31"/>
      <c r="I30" s="31"/>
      <c r="J30" s="31"/>
      <c r="K30" s="264"/>
      <c r="L30" s="90"/>
    </row>
    <row r="31" spans="1:12" s="72" customFormat="1" x14ac:dyDescent="0.25">
      <c r="B31" s="245"/>
      <c r="C31" s="245"/>
      <c r="D31" s="245"/>
      <c r="E31" s="245"/>
      <c r="F31" s="31"/>
      <c r="G31" s="31"/>
      <c r="H31" s="31"/>
      <c r="I31" s="31"/>
      <c r="J31" s="31"/>
      <c r="K31" s="264"/>
      <c r="L31" s="90"/>
    </row>
    <row r="32" spans="1:12" s="72" customFormat="1" x14ac:dyDescent="0.25">
      <c r="B32" s="245"/>
      <c r="C32" s="245"/>
      <c r="D32" s="245"/>
      <c r="E32" s="245"/>
      <c r="F32" s="31"/>
      <c r="G32" s="31"/>
      <c r="H32" s="31"/>
      <c r="I32" s="31"/>
      <c r="J32" s="31"/>
      <c r="K32" s="264"/>
      <c r="L32" s="90"/>
    </row>
    <row r="33" spans="2:12" s="72" customFormat="1" x14ac:dyDescent="0.25">
      <c r="B33" s="245"/>
      <c r="C33" s="245"/>
      <c r="D33" s="245"/>
      <c r="E33" s="245"/>
      <c r="F33" s="31"/>
      <c r="G33" s="31"/>
      <c r="H33" s="31"/>
      <c r="I33" s="31"/>
      <c r="J33" s="31"/>
      <c r="K33" s="264"/>
      <c r="L33" s="90"/>
    </row>
    <row r="34" spans="2:12" s="72" customFormat="1" x14ac:dyDescent="0.25">
      <c r="B34" s="245"/>
      <c r="C34" s="245"/>
      <c r="D34" s="245"/>
      <c r="E34" s="245"/>
      <c r="F34" s="31"/>
      <c r="G34" s="31"/>
      <c r="H34" s="31"/>
      <c r="I34" s="31"/>
      <c r="J34" s="31"/>
      <c r="K34" s="264"/>
      <c r="L34" s="90"/>
    </row>
    <row r="35" spans="2:12" s="72" customFormat="1" x14ac:dyDescent="0.25">
      <c r="D35" s="68"/>
      <c r="E35" s="68"/>
      <c r="F35" s="50"/>
      <c r="G35" s="50"/>
      <c r="H35" s="50"/>
      <c r="I35" s="50"/>
      <c r="J35" s="50"/>
      <c r="K35" s="50"/>
      <c r="L35" s="26"/>
    </row>
    <row r="36" spans="2:12" s="317" customFormat="1" x14ac:dyDescent="0.25"/>
    <row r="37" spans="2:12" s="317" customFormat="1" x14ac:dyDescent="0.25"/>
    <row r="38" spans="2:12" s="317" customFormat="1" x14ac:dyDescent="0.25"/>
    <row r="39" spans="2:12" s="317" customFormat="1" x14ac:dyDescent="0.25"/>
    <row r="40" spans="2:12" s="317" customFormat="1" x14ac:dyDescent="0.25"/>
    <row r="41" spans="2:12" s="317" customFormat="1" x14ac:dyDescent="0.25"/>
    <row r="42" spans="2:12" s="317" customFormat="1" x14ac:dyDescent="0.25"/>
  </sheetData>
  <mergeCells count="1">
    <mergeCell ref="E3:H3"/>
  </mergeCells>
  <pageMargins left="0.7" right="0.7" top="0.75" bottom="0.75" header="0.3" footer="0.3"/>
  <pageSetup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0"/>
  <sheetViews>
    <sheetView zoomScale="70" zoomScaleNormal="70" workbookViewId="0">
      <selection activeCell="C27" sqref="C27"/>
    </sheetView>
  </sheetViews>
  <sheetFormatPr defaultRowHeight="14.4" x14ac:dyDescent="0.3"/>
  <cols>
    <col min="1" max="1" width="5" customWidth="1"/>
    <col min="2" max="2" width="5.5546875" customWidth="1"/>
    <col min="3" max="3" width="38.33203125" customWidth="1"/>
    <col min="4" max="4" width="13.33203125" customWidth="1"/>
    <col min="5" max="5" width="14.5546875" customWidth="1"/>
    <col min="6" max="6" width="14.6640625" customWidth="1"/>
    <col min="7" max="7" width="12.5546875" customWidth="1"/>
    <col min="8" max="8" width="14.109375" customWidth="1"/>
  </cols>
  <sheetData>
    <row r="1" spans="1:18" x14ac:dyDescent="0.25">
      <c r="A1" s="241" t="s">
        <v>374</v>
      </c>
    </row>
    <row r="3" spans="1:18" x14ac:dyDescent="0.25">
      <c r="A3" s="43" t="s">
        <v>117</v>
      </c>
      <c r="D3" s="41" t="s">
        <v>68</v>
      </c>
      <c r="E3" s="47">
        <v>1</v>
      </c>
      <c r="F3" s="47">
        <v>10</v>
      </c>
      <c r="G3" s="47">
        <v>50</v>
      </c>
      <c r="H3" s="47">
        <v>100</v>
      </c>
      <c r="I3" s="41"/>
      <c r="J3" s="41"/>
      <c r="K3" s="41"/>
      <c r="L3" s="41"/>
      <c r="M3" s="41"/>
      <c r="N3" s="41"/>
      <c r="O3" s="41"/>
    </row>
    <row r="4" spans="1:18" x14ac:dyDescent="0.25">
      <c r="A4" s="43"/>
      <c r="B4">
        <v>2.6</v>
      </c>
      <c r="C4" t="s">
        <v>59</v>
      </c>
      <c r="D4" s="41"/>
      <c r="E4" s="473">
        <f>E11</f>
        <v>1610.1615056000001</v>
      </c>
      <c r="F4" s="473">
        <f t="shared" ref="F4:H4" si="0">F11</f>
        <v>6407.5216582113035</v>
      </c>
      <c r="G4" s="473">
        <f t="shared" si="0"/>
        <v>18606.491611262274</v>
      </c>
      <c r="H4" s="473">
        <f t="shared" si="0"/>
        <v>30185.902610261681</v>
      </c>
      <c r="I4" s="41"/>
      <c r="J4" s="41"/>
      <c r="K4" s="41"/>
      <c r="L4" s="41"/>
      <c r="M4" s="41"/>
      <c r="N4" s="41"/>
      <c r="O4" s="41"/>
      <c r="P4" s="12"/>
      <c r="Q4" s="12"/>
      <c r="R4" s="12"/>
    </row>
    <row r="5" spans="1:18" x14ac:dyDescent="0.25">
      <c r="D5" s="37"/>
      <c r="E5" s="41"/>
      <c r="F5" s="41"/>
      <c r="G5" s="41"/>
      <c r="H5" s="41"/>
      <c r="I5" s="41"/>
      <c r="J5" s="41"/>
      <c r="K5" s="41"/>
      <c r="L5" s="41"/>
      <c r="M5" s="41"/>
      <c r="N5" s="41"/>
      <c r="O5" s="41"/>
      <c r="P5" s="12"/>
      <c r="Q5" s="12"/>
      <c r="R5" s="12"/>
    </row>
    <row r="6" spans="1:18" s="533" customFormat="1" x14ac:dyDescent="0.25">
      <c r="D6" s="37"/>
      <c r="E6" s="547"/>
      <c r="F6" s="638" t="s">
        <v>467</v>
      </c>
      <c r="G6" s="547" t="s">
        <v>68</v>
      </c>
      <c r="H6" s="547"/>
      <c r="I6" s="547"/>
      <c r="J6" s="547"/>
      <c r="K6" s="547"/>
      <c r="L6" s="547"/>
      <c r="M6" s="547"/>
      <c r="N6" s="547"/>
      <c r="O6" s="547"/>
    </row>
    <row r="7" spans="1:18" s="533" customFormat="1" x14ac:dyDescent="0.25">
      <c r="A7" s="533" t="s">
        <v>477</v>
      </c>
      <c r="D7" s="37"/>
      <c r="E7" s="547">
        <v>1</v>
      </c>
      <c r="F7" s="547">
        <v>10</v>
      </c>
      <c r="G7" s="547">
        <v>50</v>
      </c>
      <c r="H7" s="547">
        <v>100</v>
      </c>
      <c r="I7" s="547"/>
      <c r="J7" s="547"/>
      <c r="K7" s="547"/>
      <c r="L7" s="547"/>
      <c r="M7" s="547"/>
      <c r="N7" s="547"/>
      <c r="O7" s="547"/>
    </row>
    <row r="8" spans="1:18" s="533" customFormat="1" x14ac:dyDescent="0.25">
      <c r="B8" s="533" t="s">
        <v>473</v>
      </c>
      <c r="D8" s="37"/>
      <c r="E8" s="232">
        <f>'2.5'!E15</f>
        <v>16101.615055999999</v>
      </c>
      <c r="F8" s="232">
        <f>'2.5'!F15</f>
        <v>64075.216582113033</v>
      </c>
      <c r="G8" s="232">
        <f>'2.5'!G15</f>
        <v>186064.91611262274</v>
      </c>
      <c r="H8" s="232">
        <f>'2.5'!H15</f>
        <v>301859.0261026168</v>
      </c>
      <c r="I8" s="547"/>
      <c r="J8" s="547"/>
      <c r="K8" s="547"/>
      <c r="L8" s="547"/>
      <c r="M8" s="547"/>
      <c r="N8" s="547"/>
      <c r="O8" s="547"/>
    </row>
    <row r="9" spans="1:18" s="533" customFormat="1" x14ac:dyDescent="0.25">
      <c r="B9" s="533" t="s">
        <v>478</v>
      </c>
      <c r="D9" s="37"/>
      <c r="E9" s="237">
        <v>0.1</v>
      </c>
      <c r="F9" s="237">
        <v>0.1</v>
      </c>
      <c r="G9" s="237">
        <v>0.1</v>
      </c>
      <c r="H9" s="237">
        <v>0.1</v>
      </c>
      <c r="I9" s="547"/>
      <c r="J9" s="547"/>
      <c r="K9" s="547"/>
      <c r="L9" s="547"/>
      <c r="M9" s="547"/>
      <c r="N9" s="547"/>
      <c r="O9" s="547"/>
    </row>
    <row r="10" spans="1:18" s="533" customFormat="1" x14ac:dyDescent="0.25">
      <c r="D10" s="37"/>
      <c r="E10" s="547"/>
      <c r="F10" s="547"/>
      <c r="G10" s="547"/>
      <c r="H10" s="547"/>
      <c r="I10" s="547"/>
      <c r="J10" s="547"/>
      <c r="K10" s="547"/>
      <c r="L10" s="547"/>
      <c r="M10" s="547"/>
      <c r="N10" s="547"/>
      <c r="O10" s="547"/>
    </row>
    <row r="11" spans="1:18" s="533" customFormat="1" x14ac:dyDescent="0.25">
      <c r="B11" s="351" t="s">
        <v>86</v>
      </c>
      <c r="C11" s="351"/>
      <c r="D11" s="639"/>
      <c r="E11" s="257">
        <f>E9*E8</f>
        <v>1610.1615056000001</v>
      </c>
      <c r="F11" s="257">
        <f t="shared" ref="F11:H11" si="1">F9*F8</f>
        <v>6407.5216582113035</v>
      </c>
      <c r="G11" s="257">
        <f t="shared" si="1"/>
        <v>18606.491611262274</v>
      </c>
      <c r="H11" s="257">
        <f t="shared" si="1"/>
        <v>30185.902610261681</v>
      </c>
      <c r="I11" s="547"/>
      <c r="J11" s="547"/>
      <c r="K11" s="547"/>
      <c r="L11" s="547"/>
      <c r="M11" s="547"/>
      <c r="N11" s="547"/>
      <c r="O11" s="547"/>
    </row>
    <row r="12" spans="1:18" s="533" customFormat="1" x14ac:dyDescent="0.25">
      <c r="D12" s="37"/>
      <c r="E12" s="547"/>
      <c r="F12" s="547"/>
      <c r="G12" s="547"/>
      <c r="H12" s="547"/>
      <c r="I12" s="547"/>
      <c r="J12" s="547"/>
      <c r="K12" s="547"/>
      <c r="L12" s="547"/>
      <c r="M12" s="547"/>
      <c r="N12" s="547"/>
      <c r="O12" s="547"/>
    </row>
    <row r="13" spans="1:18" x14ac:dyDescent="0.25">
      <c r="B13" s="474"/>
      <c r="D13" s="125"/>
    </row>
    <row r="14" spans="1:18" s="317" customFormat="1" x14ac:dyDescent="0.25">
      <c r="A14" s="241" t="s">
        <v>170</v>
      </c>
    </row>
    <row r="15" spans="1:18" s="317" customFormat="1" x14ac:dyDescent="0.25">
      <c r="A15" s="317">
        <v>2.6</v>
      </c>
      <c r="B15" s="317" t="s">
        <v>579</v>
      </c>
    </row>
    <row r="16" spans="1:18" s="317" customFormat="1" x14ac:dyDescent="0.25">
      <c r="B16" s="317" t="s">
        <v>580</v>
      </c>
    </row>
    <row r="17" spans="1:2" s="317" customFormat="1" x14ac:dyDescent="0.25"/>
    <row r="18" spans="1:2" s="317" customFormat="1" x14ac:dyDescent="0.25">
      <c r="A18" s="241" t="s">
        <v>283</v>
      </c>
    </row>
    <row r="19" spans="1:2" s="317" customFormat="1" x14ac:dyDescent="0.25">
      <c r="A19" s="317">
        <v>2.6</v>
      </c>
      <c r="B19" s="533" t="s">
        <v>545</v>
      </c>
    </row>
    <row r="20" spans="1:2" s="317" customForma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23"/>
  <sheetViews>
    <sheetView zoomScale="80" zoomScaleNormal="80" workbookViewId="0">
      <selection activeCell="M22" sqref="M22"/>
    </sheetView>
  </sheetViews>
  <sheetFormatPr defaultRowHeight="14.4" x14ac:dyDescent="0.3"/>
  <cols>
    <col min="1" max="1" width="25.5546875" customWidth="1"/>
    <col min="2" max="2" width="15" customWidth="1"/>
    <col min="3" max="3" width="14.6640625" customWidth="1"/>
    <col min="4" max="4" width="16.33203125" customWidth="1"/>
  </cols>
  <sheetData>
    <row r="2" spans="1:6" ht="15" x14ac:dyDescent="0.25">
      <c r="A2" t="s">
        <v>273</v>
      </c>
      <c r="B2">
        <v>1</v>
      </c>
      <c r="C2">
        <v>10</v>
      </c>
      <c r="D2">
        <v>50</v>
      </c>
      <c r="E2">
        <v>100</v>
      </c>
    </row>
    <row r="3" spans="1:6" ht="15" x14ac:dyDescent="0.25">
      <c r="A3" t="s">
        <v>274</v>
      </c>
      <c r="B3">
        <f>'CBS ($ per kW)'!J1</f>
        <v>89.51</v>
      </c>
      <c r="C3" s="301">
        <f>'CBS ($ per kW)'!L1</f>
        <v>895.1</v>
      </c>
      <c r="D3" s="301">
        <f>'CBS ($ per kW)'!N1</f>
        <v>4475.5</v>
      </c>
      <c r="E3" s="301">
        <f>'CBS ($ per kW)'!P1</f>
        <v>8951</v>
      </c>
      <c r="F3" s="301"/>
    </row>
    <row r="4" spans="1:6" ht="15" x14ac:dyDescent="0.25">
      <c r="A4" s="301" t="s">
        <v>275</v>
      </c>
      <c r="B4">
        <f>B3/1000</f>
        <v>8.9510000000000006E-2</v>
      </c>
      <c r="C4" s="301">
        <f t="shared" ref="C4:E4" si="0">C3/1000</f>
        <v>0.89510000000000001</v>
      </c>
      <c r="D4" s="301">
        <f t="shared" si="0"/>
        <v>4.4755000000000003</v>
      </c>
      <c r="E4" s="301">
        <f t="shared" si="0"/>
        <v>8.9510000000000005</v>
      </c>
    </row>
    <row r="26" s="317" customFormat="1" ht="15" x14ac:dyDescent="0.25"/>
    <row r="27" s="317" customFormat="1" ht="15" x14ac:dyDescent="0.25"/>
    <row r="28" s="317" customFormat="1" ht="15" x14ac:dyDescent="0.25"/>
    <row r="29" s="317" customFormat="1" ht="15" x14ac:dyDescent="0.25"/>
    <row r="30" s="317" customFormat="1" ht="15" x14ac:dyDescent="0.25"/>
    <row r="31" s="317" customFormat="1" ht="15" x14ac:dyDescent="0.25"/>
    <row r="32" s="317" customFormat="1" ht="15" x14ac:dyDescent="0.25"/>
    <row r="33" s="317" customFormat="1" ht="15" x14ac:dyDescent="0.25"/>
    <row r="34" s="317" customFormat="1" ht="15" x14ac:dyDescent="0.25"/>
    <row r="35" s="317" customFormat="1" ht="15" x14ac:dyDescent="0.25"/>
    <row r="36" s="317" customFormat="1" ht="15" x14ac:dyDescent="0.25"/>
    <row r="37" s="317" customFormat="1" ht="15" x14ac:dyDescent="0.25"/>
    <row r="38" s="317" customFormat="1" ht="15" x14ac:dyDescent="0.25"/>
    <row r="39" s="317" customFormat="1" ht="15" x14ac:dyDescent="0.25"/>
    <row r="40" s="317" customFormat="1" ht="15" x14ac:dyDescent="0.25"/>
    <row r="41" s="317" customFormat="1" ht="15" x14ac:dyDescent="0.25"/>
    <row r="42" s="317" customFormat="1" ht="15" x14ac:dyDescent="0.25"/>
    <row r="43" s="317" customFormat="1" ht="15" x14ac:dyDescent="0.25"/>
    <row r="44" s="317" customFormat="1" ht="15" x14ac:dyDescent="0.25"/>
    <row r="45" s="317" customFormat="1" ht="15" x14ac:dyDescent="0.25"/>
    <row r="46" s="317" customFormat="1" ht="15" x14ac:dyDescent="0.25"/>
    <row r="47" s="317" customFormat="1" ht="15" x14ac:dyDescent="0.25"/>
    <row r="48" s="317" customFormat="1" ht="15" x14ac:dyDescent="0.25"/>
    <row r="49" s="317" customFormat="1" ht="15" x14ac:dyDescent="0.25"/>
    <row r="50" s="317" customFormat="1" ht="15" x14ac:dyDescent="0.25"/>
    <row r="51" s="317" customFormat="1" ht="15" x14ac:dyDescent="0.25"/>
    <row r="52" s="317" customFormat="1" x14ac:dyDescent="0.3"/>
    <row r="53" s="317" customFormat="1" x14ac:dyDescent="0.3"/>
    <row r="54" s="317" customFormat="1" x14ac:dyDescent="0.3"/>
    <row r="55" s="317" customFormat="1" x14ac:dyDescent="0.3"/>
    <row r="56" s="317" customFormat="1" x14ac:dyDescent="0.3"/>
    <row r="57" s="317" customFormat="1" x14ac:dyDescent="0.3"/>
    <row r="58" s="317" customFormat="1" x14ac:dyDescent="0.3"/>
    <row r="59" s="317" customFormat="1" x14ac:dyDescent="0.3"/>
    <row r="60" s="317" customFormat="1" x14ac:dyDescent="0.3"/>
    <row r="61" s="317" customFormat="1" x14ac:dyDescent="0.3"/>
    <row r="62" s="317" customFormat="1" x14ac:dyDescent="0.3"/>
    <row r="63" s="317" customFormat="1" x14ac:dyDescent="0.3"/>
    <row r="64" s="317" customFormat="1" x14ac:dyDescent="0.3"/>
    <row r="65" s="317" customFormat="1" x14ac:dyDescent="0.3"/>
    <row r="66" s="317" customFormat="1" x14ac:dyDescent="0.3"/>
    <row r="67" s="317" customFormat="1" x14ac:dyDescent="0.3"/>
    <row r="68" s="317" customFormat="1" x14ac:dyDescent="0.3"/>
    <row r="69" s="317" customFormat="1" x14ac:dyDescent="0.3"/>
    <row r="110" s="317" customFormat="1" x14ac:dyDescent="0.3"/>
    <row r="111" s="317" customFormat="1" x14ac:dyDescent="0.3"/>
    <row r="112" s="317" customFormat="1" x14ac:dyDescent="0.3"/>
    <row r="113" s="317" customFormat="1" x14ac:dyDescent="0.3"/>
    <row r="114" s="317" customFormat="1" x14ac:dyDescent="0.3"/>
    <row r="115" s="317" customFormat="1" x14ac:dyDescent="0.3"/>
    <row r="116" s="317" customFormat="1" x14ac:dyDescent="0.3"/>
    <row r="117" s="317" customFormat="1" x14ac:dyDescent="0.3"/>
    <row r="118" s="317" customFormat="1" x14ac:dyDescent="0.3"/>
    <row r="119" s="317" customFormat="1" x14ac:dyDescent="0.3"/>
    <row r="120" s="317" customFormat="1" x14ac:dyDescent="0.3"/>
    <row r="121" s="317" customFormat="1" x14ac:dyDescent="0.3"/>
    <row r="122" s="317" customFormat="1" x14ac:dyDescent="0.3"/>
    <row r="123" s="317" customFormat="1" x14ac:dyDescent="0.3"/>
    <row r="124" s="317" customFormat="1" x14ac:dyDescent="0.3"/>
    <row r="125" s="317" customFormat="1" x14ac:dyDescent="0.3"/>
    <row r="126" s="317" customFormat="1" x14ac:dyDescent="0.3"/>
    <row r="127" s="317" customFormat="1" x14ac:dyDescent="0.3"/>
    <row r="129" s="317" customFormat="1" x14ac:dyDescent="0.3"/>
    <row r="130" s="317" customFormat="1" x14ac:dyDescent="0.3"/>
    <row r="131" s="317" customFormat="1" x14ac:dyDescent="0.3"/>
    <row r="133" s="317" customFormat="1" x14ac:dyDescent="0.3"/>
    <row r="134" s="317" customFormat="1" x14ac:dyDescent="0.3"/>
    <row r="135" s="317" customFormat="1" x14ac:dyDescent="0.3"/>
    <row r="136" s="317" customFormat="1" x14ac:dyDescent="0.3"/>
    <row r="137" s="317" customFormat="1" x14ac:dyDescent="0.3"/>
    <row r="138" s="317" customFormat="1" x14ac:dyDescent="0.3"/>
    <row r="139" s="317" customFormat="1" x14ac:dyDescent="0.3"/>
    <row r="140" s="317" customFormat="1" x14ac:dyDescent="0.3"/>
    <row r="141" s="317" customFormat="1" x14ac:dyDescent="0.3"/>
    <row r="155" spans="1:4" s="311" customFormat="1" x14ac:dyDescent="0.3"/>
    <row r="156" spans="1:4" x14ac:dyDescent="0.3">
      <c r="A156" t="s">
        <v>280</v>
      </c>
    </row>
    <row r="158" spans="1:4" x14ac:dyDescent="0.3">
      <c r="A158" t="s">
        <v>276</v>
      </c>
      <c r="B158" t="s">
        <v>277</v>
      </c>
      <c r="C158" t="s">
        <v>278</v>
      </c>
      <c r="D158" t="s">
        <v>279</v>
      </c>
    </row>
    <row r="159" spans="1:4" x14ac:dyDescent="0.3">
      <c r="A159" s="312">
        <v>1.1999999999999997</v>
      </c>
      <c r="B159" s="312">
        <v>2.2597810166080361</v>
      </c>
      <c r="C159" s="312"/>
      <c r="D159" s="312"/>
    </row>
    <row r="160" spans="1:4" x14ac:dyDescent="0.3">
      <c r="A160" s="312">
        <v>1.3999999999999992</v>
      </c>
      <c r="B160" s="312">
        <v>2.6364111860427073</v>
      </c>
      <c r="C160" s="312"/>
      <c r="D160" s="312"/>
    </row>
    <row r="161" spans="1:5" x14ac:dyDescent="0.3">
      <c r="A161" s="312">
        <v>1.599999999999999</v>
      </c>
      <c r="B161" s="312">
        <v>3.0130413554773803</v>
      </c>
      <c r="C161" s="312"/>
      <c r="D161" s="312"/>
    </row>
    <row r="162" spans="1:5" x14ac:dyDescent="0.3">
      <c r="A162" s="312">
        <v>1.8</v>
      </c>
      <c r="B162" s="312">
        <v>3.3896715249120541</v>
      </c>
      <c r="C162" s="312"/>
      <c r="D162" s="312"/>
    </row>
    <row r="163" spans="1:5" x14ac:dyDescent="0.3">
      <c r="A163" s="312">
        <v>2</v>
      </c>
      <c r="B163" s="312">
        <v>3.7663016943467267</v>
      </c>
      <c r="C163" s="312"/>
      <c r="D163" s="312"/>
    </row>
    <row r="164" spans="1:5" x14ac:dyDescent="0.3">
      <c r="A164" s="312"/>
      <c r="B164" s="312"/>
      <c r="C164" s="312"/>
      <c r="D164" s="312"/>
      <c r="E164" t="s">
        <v>309</v>
      </c>
    </row>
    <row r="181" s="317" customFormat="1" x14ac:dyDescent="0.3"/>
    <row r="182" s="317" customFormat="1" x14ac:dyDescent="0.3"/>
    <row r="183" s="317" customFormat="1" x14ac:dyDescent="0.3"/>
    <row r="184" s="317" customFormat="1" x14ac:dyDescent="0.3"/>
    <row r="185" s="317" customFormat="1" x14ac:dyDescent="0.3"/>
    <row r="186" s="317" customFormat="1" x14ac:dyDescent="0.3"/>
    <row r="187" s="317" customFormat="1" x14ac:dyDescent="0.3"/>
    <row r="188" s="317" customFormat="1" x14ac:dyDescent="0.3"/>
    <row r="189" s="317" customFormat="1" x14ac:dyDescent="0.3"/>
    <row r="190" s="317" customFormat="1" x14ac:dyDescent="0.3"/>
    <row r="191" s="317" customFormat="1" x14ac:dyDescent="0.3"/>
    <row r="192" s="317" customFormat="1" x14ac:dyDescent="0.3"/>
    <row r="203" s="317" customFormat="1" x14ac:dyDescent="0.3"/>
    <row r="204" s="317" customFormat="1" x14ac:dyDescent="0.3"/>
    <row r="205" s="317" customFormat="1" x14ac:dyDescent="0.3"/>
    <row r="206" s="317" customFormat="1" x14ac:dyDescent="0.3"/>
    <row r="207" s="317" customFormat="1" x14ac:dyDescent="0.3"/>
    <row r="216" spans="1:21" x14ac:dyDescent="0.3">
      <c r="A216" s="313" t="s">
        <v>281</v>
      </c>
      <c r="B216" s="316"/>
      <c r="C216" s="314"/>
      <c r="D216" s="314"/>
      <c r="E216" s="314"/>
      <c r="F216" s="314"/>
      <c r="G216" s="314"/>
      <c r="H216" s="314"/>
      <c r="I216" s="314"/>
      <c r="J216" s="314"/>
      <c r="K216" s="314"/>
      <c r="L216" s="314"/>
      <c r="M216" s="314"/>
      <c r="N216" s="314"/>
      <c r="O216" s="314"/>
      <c r="P216" s="314"/>
      <c r="Q216" s="314"/>
      <c r="R216" s="314"/>
      <c r="S216" s="314"/>
      <c r="T216" s="314"/>
      <c r="U216" s="314"/>
    </row>
    <row r="217" spans="1:21" x14ac:dyDescent="0.3">
      <c r="A217" s="313" t="s">
        <v>265</v>
      </c>
      <c r="B217" s="315"/>
      <c r="C217" s="315"/>
      <c r="D217" s="315"/>
      <c r="E217" s="315"/>
      <c r="F217" s="315"/>
      <c r="G217" s="315"/>
      <c r="H217" s="315"/>
      <c r="I217" s="315"/>
      <c r="J217" s="315"/>
      <c r="K217" s="315"/>
      <c r="L217" s="315"/>
      <c r="M217" s="315"/>
      <c r="N217" s="315"/>
      <c r="O217" s="315"/>
      <c r="P217" s="315"/>
      <c r="Q217" s="315"/>
      <c r="R217" s="315"/>
      <c r="S217" s="315"/>
      <c r="T217" s="315"/>
      <c r="U217" s="315"/>
    </row>
    <row r="219" spans="1:21" x14ac:dyDescent="0.3">
      <c r="A219" s="674" t="s">
        <v>282</v>
      </c>
      <c r="B219" s="675"/>
    </row>
    <row r="220" spans="1:21" x14ac:dyDescent="0.3">
      <c r="A220" s="319" t="s">
        <v>265</v>
      </c>
      <c r="B220" s="320" t="s">
        <v>281</v>
      </c>
    </row>
    <row r="221" spans="1:21" x14ac:dyDescent="0.3">
      <c r="A221" s="272">
        <v>0.1</v>
      </c>
      <c r="B221" s="321"/>
    </row>
    <row r="222" spans="1:21" x14ac:dyDescent="0.3">
      <c r="A222" s="272">
        <v>0.5</v>
      </c>
      <c r="B222" s="321"/>
    </row>
    <row r="223" spans="1:21" x14ac:dyDescent="0.3">
      <c r="A223" s="272">
        <v>0.9</v>
      </c>
      <c r="B223" s="321"/>
    </row>
  </sheetData>
  <mergeCells count="1">
    <mergeCell ref="A219:B2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E83"/>
  <sheetViews>
    <sheetView zoomScale="70" zoomScaleNormal="70" workbookViewId="0">
      <selection activeCell="J70" sqref="J70"/>
    </sheetView>
  </sheetViews>
  <sheetFormatPr defaultColWidth="9.109375" defaultRowHeight="13.2" outlineLevelRow="1" x14ac:dyDescent="0.25"/>
  <cols>
    <col min="1" max="1" width="3" style="129" customWidth="1"/>
    <col min="2" max="2" width="11.44140625" style="129" customWidth="1"/>
    <col min="3" max="3" width="11" style="129" customWidth="1"/>
    <col min="4" max="4" width="9.109375" style="129"/>
    <col min="5" max="5" width="11" style="129" bestFit="1" customWidth="1"/>
    <col min="6" max="6" width="13" style="129" customWidth="1"/>
    <col min="7" max="7" width="13.88671875" style="129" customWidth="1"/>
    <col min="8" max="8" width="16.109375" style="416" customWidth="1"/>
    <col min="9" max="9" width="16.109375" style="556" customWidth="1"/>
    <col min="10" max="10" width="12.88671875" style="129" customWidth="1"/>
    <col min="11" max="11" width="19.5546875" style="183" customWidth="1"/>
    <col min="12" max="12" width="17.109375" style="183" customWidth="1"/>
    <col min="13" max="13" width="14.33203125" style="129" customWidth="1"/>
    <col min="14" max="14" width="12.6640625" style="129" customWidth="1"/>
    <col min="15" max="15" width="3" style="128" customWidth="1"/>
    <col min="16" max="16" width="12.44140625" style="129" bestFit="1" customWidth="1"/>
    <col min="17" max="17" width="9.33203125" style="129" bestFit="1" customWidth="1"/>
    <col min="18" max="18" width="11.44140625" style="129" bestFit="1" customWidth="1"/>
    <col min="19" max="19" width="13.33203125" style="129" customWidth="1"/>
    <col min="20" max="20" width="10.44140625" style="129" customWidth="1"/>
    <col min="21" max="21" width="9" style="129" customWidth="1"/>
    <col min="22" max="22" width="11.44140625" style="129" bestFit="1" customWidth="1"/>
    <col min="23" max="16384" width="9.109375" style="129"/>
  </cols>
  <sheetData>
    <row r="1" spans="1:31" s="127" customFormat="1" ht="15.75" x14ac:dyDescent="0.25">
      <c r="A1" s="180" t="s">
        <v>198</v>
      </c>
      <c r="B1" s="181"/>
      <c r="C1" s="181"/>
      <c r="D1" s="181"/>
      <c r="E1" s="181"/>
      <c r="F1" s="181"/>
      <c r="G1" s="181"/>
      <c r="H1" s="414"/>
      <c r="I1" s="561"/>
      <c r="J1" s="181"/>
      <c r="K1" s="181"/>
      <c r="L1" s="181"/>
      <c r="M1" s="181"/>
      <c r="N1" s="181"/>
      <c r="O1" s="180" t="s">
        <v>223</v>
      </c>
      <c r="P1" s="181"/>
      <c r="Q1" s="181"/>
      <c r="R1" s="181"/>
      <c r="S1" s="181"/>
      <c r="T1" s="181"/>
      <c r="U1" s="181"/>
    </row>
    <row r="2" spans="1:31" ht="12.75" customHeight="1" x14ac:dyDescent="0.2">
      <c r="A2" s="182"/>
      <c r="B2" s="182"/>
      <c r="C2" s="183"/>
      <c r="D2" s="183"/>
      <c r="E2" s="183"/>
      <c r="F2" s="183"/>
      <c r="G2" s="183"/>
      <c r="J2" s="183"/>
      <c r="M2" s="183"/>
      <c r="N2" s="183"/>
      <c r="O2" s="182"/>
      <c r="P2" s="182"/>
      <c r="Q2" s="182"/>
      <c r="R2" s="182"/>
      <c r="S2" s="182"/>
      <c r="T2" s="182"/>
      <c r="U2" s="182"/>
      <c r="V2" s="128"/>
      <c r="Z2" s="130"/>
    </row>
    <row r="3" spans="1:31" s="252" customFormat="1" ht="12.75" customHeight="1" x14ac:dyDescent="0.2">
      <c r="A3" s="251" t="s">
        <v>258</v>
      </c>
      <c r="B3" s="251"/>
      <c r="H3" s="416"/>
      <c r="I3" s="556"/>
      <c r="O3" s="251"/>
      <c r="P3" s="251"/>
      <c r="Q3" s="251"/>
      <c r="R3" s="251"/>
      <c r="S3" s="251"/>
      <c r="T3" s="251"/>
      <c r="U3" s="251"/>
      <c r="V3" s="251"/>
      <c r="Z3" s="253"/>
    </row>
    <row r="4" spans="1:31" s="252" customFormat="1" ht="12.75" customHeight="1" x14ac:dyDescent="0.2">
      <c r="A4" s="251"/>
      <c r="B4" s="251"/>
      <c r="H4" s="416"/>
      <c r="I4" s="556"/>
      <c r="O4" s="251"/>
      <c r="P4" s="251"/>
      <c r="Q4" s="251"/>
      <c r="R4" s="251"/>
      <c r="S4" s="251"/>
      <c r="T4" s="251"/>
      <c r="U4" s="251"/>
      <c r="V4" s="251"/>
      <c r="Z4" s="253"/>
    </row>
    <row r="5" spans="1:31" ht="14.25" x14ac:dyDescent="0.2">
      <c r="A5" s="184" t="s">
        <v>205</v>
      </c>
      <c r="B5" s="185"/>
      <c r="C5" s="182"/>
      <c r="D5" s="182"/>
      <c r="E5" s="182"/>
      <c r="F5" s="186"/>
      <c r="G5" s="186"/>
      <c r="H5" s="425"/>
      <c r="I5" s="559"/>
      <c r="J5" s="182"/>
      <c r="K5" s="182"/>
      <c r="L5" s="182"/>
      <c r="M5" s="182"/>
      <c r="N5" s="183"/>
      <c r="O5" s="184" t="s">
        <v>224</v>
      </c>
      <c r="P5" s="187"/>
      <c r="Q5" s="187"/>
      <c r="R5" s="188"/>
      <c r="S5" s="187"/>
      <c r="T5" s="187"/>
      <c r="U5" s="182"/>
      <c r="V5" s="132"/>
      <c r="W5" s="132"/>
      <c r="Z5" s="133"/>
    </row>
    <row r="6" spans="1:31" ht="14.25" outlineLevel="1" x14ac:dyDescent="0.2">
      <c r="A6" s="189"/>
      <c r="B6" s="539" t="s">
        <v>158</v>
      </c>
      <c r="C6" s="539"/>
      <c r="D6" s="539"/>
      <c r="E6" s="539"/>
      <c r="F6" s="190"/>
      <c r="G6" s="191">
        <v>6.45</v>
      </c>
      <c r="H6" s="182" t="s">
        <v>145</v>
      </c>
      <c r="I6" s="557"/>
      <c r="K6" s="182"/>
      <c r="L6" s="182"/>
      <c r="M6" s="182"/>
      <c r="N6" s="183"/>
      <c r="O6" s="182"/>
      <c r="P6" s="192" t="s">
        <v>199</v>
      </c>
      <c r="Q6" s="187"/>
      <c r="R6" s="187"/>
      <c r="S6" s="226">
        <f>SUMPRODUCT(F26:F56,G26:G56)</f>
        <v>1.2525652959535671</v>
      </c>
      <c r="T6" s="194" t="s">
        <v>200</v>
      </c>
      <c r="U6" s="195"/>
      <c r="V6" s="134"/>
      <c r="W6" s="134"/>
      <c r="X6" s="134"/>
      <c r="Y6" s="134"/>
      <c r="Z6" s="134"/>
      <c r="AA6" s="134"/>
      <c r="AB6" s="135"/>
      <c r="AC6" s="135"/>
      <c r="AD6" s="128"/>
      <c r="AE6" s="128"/>
    </row>
    <row r="7" spans="1:31" ht="14.25" outlineLevel="1" x14ac:dyDescent="0.2">
      <c r="A7" s="189"/>
      <c r="B7" s="539" t="s">
        <v>355</v>
      </c>
      <c r="C7" s="539"/>
      <c r="D7" s="539"/>
      <c r="E7" s="539"/>
      <c r="G7" s="479">
        <v>4.84</v>
      </c>
      <c r="H7" s="182" t="s">
        <v>145</v>
      </c>
      <c r="I7" s="557"/>
      <c r="K7" s="182"/>
      <c r="L7" s="182"/>
      <c r="M7" s="182"/>
      <c r="N7" s="183"/>
      <c r="O7" s="182"/>
      <c r="P7" s="198" t="s">
        <v>201</v>
      </c>
      <c r="Q7" s="198"/>
      <c r="R7" s="198"/>
      <c r="S7" s="227">
        <f>SUMPRODUCT(G26:G56,K26:K56)/G11</f>
        <v>1.2589390796159445</v>
      </c>
      <c r="T7" s="199" t="s">
        <v>202</v>
      </c>
      <c r="U7" s="195"/>
      <c r="V7" s="134"/>
      <c r="W7" s="134"/>
      <c r="X7" s="136"/>
      <c r="Y7" s="134"/>
      <c r="Z7" s="134"/>
      <c r="AA7" s="134"/>
      <c r="AB7" s="135"/>
      <c r="AC7" s="135"/>
      <c r="AD7" s="128"/>
      <c r="AE7" s="128"/>
    </row>
    <row r="8" spans="1:31" s="416" customFormat="1" ht="14.25" outlineLevel="1" x14ac:dyDescent="0.2">
      <c r="A8" s="426"/>
      <c r="B8" s="196" t="s">
        <v>206</v>
      </c>
      <c r="C8" s="187"/>
      <c r="D8" s="187"/>
      <c r="E8" s="187"/>
      <c r="F8" s="190"/>
      <c r="G8" s="197">
        <v>2</v>
      </c>
      <c r="H8" s="415" t="s">
        <v>145</v>
      </c>
      <c r="I8" s="557"/>
      <c r="K8" s="415"/>
      <c r="L8" s="415"/>
      <c r="M8" s="415"/>
      <c r="O8" s="415"/>
      <c r="P8" s="192" t="s">
        <v>203</v>
      </c>
      <c r="Q8" s="187"/>
      <c r="R8" s="187"/>
      <c r="S8" s="226">
        <f ca="1">OFFSET(F25,MATCH(MAX(K26:K56),K26:K56,0),0)</f>
        <v>2.7</v>
      </c>
      <c r="T8" s="194" t="s">
        <v>200</v>
      </c>
      <c r="U8" s="427"/>
      <c r="V8" s="417"/>
      <c r="W8" s="417"/>
      <c r="X8" s="419"/>
      <c r="Y8" s="417"/>
      <c r="Z8" s="417"/>
      <c r="AA8" s="417"/>
      <c r="AB8" s="418"/>
      <c r="AC8" s="418"/>
      <c r="AD8" s="415"/>
      <c r="AE8" s="415"/>
    </row>
    <row r="9" spans="1:31" s="537" customFormat="1" ht="14.25" outlineLevel="1" x14ac:dyDescent="0.2">
      <c r="A9" s="541"/>
      <c r="B9" s="200" t="s">
        <v>354</v>
      </c>
      <c r="C9" s="201"/>
      <c r="D9" s="201"/>
      <c r="E9" s="201"/>
      <c r="F9" s="190"/>
      <c r="G9" s="197">
        <v>4.84</v>
      </c>
      <c r="H9" s="182" t="s">
        <v>145</v>
      </c>
      <c r="I9" s="557"/>
      <c r="K9" s="538"/>
      <c r="L9" s="538"/>
      <c r="M9" s="538"/>
      <c r="O9" s="538"/>
      <c r="P9" s="198" t="s">
        <v>204</v>
      </c>
      <c r="Q9" s="201"/>
      <c r="R9" s="201"/>
      <c r="S9" s="226">
        <f>MAX(K26:K56)/G11</f>
        <v>8.864346784966715</v>
      </c>
      <c r="T9" s="199" t="s">
        <v>202</v>
      </c>
      <c r="U9" s="542"/>
      <c r="V9" s="544"/>
      <c r="W9" s="544"/>
      <c r="X9" s="419"/>
      <c r="Y9" s="544"/>
      <c r="Z9" s="544"/>
      <c r="AA9" s="544"/>
      <c r="AB9" s="543"/>
      <c r="AC9" s="543"/>
      <c r="AD9" s="538"/>
      <c r="AE9" s="538"/>
    </row>
    <row r="10" spans="1:31" ht="12.75" outlineLevel="1" x14ac:dyDescent="0.2">
      <c r="A10" s="182"/>
      <c r="B10" s="428" t="s">
        <v>305</v>
      </c>
      <c r="C10" s="429"/>
      <c r="D10" s="429"/>
      <c r="E10" s="429"/>
      <c r="F10" s="415"/>
      <c r="G10" s="421">
        <v>6</v>
      </c>
      <c r="H10" s="415"/>
      <c r="I10" s="557"/>
      <c r="K10" s="182"/>
      <c r="L10" s="182"/>
      <c r="M10" s="182"/>
      <c r="N10" s="183"/>
      <c r="O10" s="182"/>
      <c r="U10" s="182"/>
      <c r="V10" s="128"/>
      <c r="W10" s="128"/>
      <c r="X10" s="128"/>
      <c r="Y10" s="128"/>
      <c r="Z10" s="137"/>
      <c r="AA10" s="128"/>
      <c r="AB10" s="128"/>
      <c r="AC10" s="128"/>
      <c r="AD10" s="128"/>
      <c r="AE10" s="128"/>
    </row>
    <row r="11" spans="1:31" s="416" customFormat="1" ht="12.75" outlineLevel="1" x14ac:dyDescent="0.2">
      <c r="A11" s="415"/>
      <c r="B11" s="200" t="s">
        <v>215</v>
      </c>
      <c r="C11" s="200"/>
      <c r="D11" s="200"/>
      <c r="E11" s="200"/>
      <c r="F11" s="202"/>
      <c r="G11" s="521">
        <f>G6*G7*G8</f>
        <v>62.436</v>
      </c>
      <c r="H11" s="202" t="s">
        <v>157</v>
      </c>
      <c r="I11" s="558"/>
      <c r="K11" s="415"/>
      <c r="L11" s="415"/>
      <c r="M11" s="415"/>
      <c r="O11" s="415"/>
      <c r="U11" s="415"/>
      <c r="V11" s="415"/>
      <c r="W11" s="415"/>
      <c r="X11" s="415"/>
      <c r="Y11" s="415"/>
      <c r="Z11" s="420"/>
      <c r="AA11" s="415"/>
      <c r="AB11" s="415"/>
      <c r="AC11" s="415"/>
      <c r="AD11" s="415"/>
      <c r="AE11" s="415"/>
    </row>
    <row r="12" spans="1:31" ht="12.75" outlineLevel="1" x14ac:dyDescent="0.2">
      <c r="A12" s="182"/>
      <c r="B12" s="540" t="s">
        <v>225</v>
      </c>
      <c r="C12" s="540"/>
      <c r="D12" s="540"/>
      <c r="E12" s="540"/>
      <c r="F12" s="202"/>
      <c r="G12" s="431">
        <v>89.51</v>
      </c>
      <c r="H12" s="202" t="s">
        <v>156</v>
      </c>
      <c r="I12" s="558"/>
      <c r="K12" s="202"/>
      <c r="L12" s="202"/>
      <c r="M12" s="182"/>
      <c r="N12" s="183"/>
      <c r="O12" s="184" t="s">
        <v>207</v>
      </c>
      <c r="P12" s="182"/>
      <c r="Q12" s="182"/>
      <c r="R12" s="182"/>
      <c r="S12" s="204"/>
      <c r="T12" s="205"/>
      <c r="U12" s="182"/>
      <c r="V12" s="128"/>
      <c r="W12" s="128"/>
      <c r="X12" s="128"/>
      <c r="Y12" s="128"/>
      <c r="Z12" s="137"/>
      <c r="AA12" s="128"/>
      <c r="AB12" s="128"/>
      <c r="AC12" s="128"/>
      <c r="AD12" s="128"/>
      <c r="AE12" s="128"/>
    </row>
    <row r="13" spans="1:31" ht="12.75" outlineLevel="1" x14ac:dyDescent="0.2">
      <c r="A13" s="182"/>
      <c r="B13" s="129" t="s">
        <v>356</v>
      </c>
      <c r="G13" s="153">
        <v>0.94</v>
      </c>
      <c r="H13" s="503"/>
      <c r="K13" s="202"/>
      <c r="L13" s="202"/>
      <c r="M13" s="182"/>
      <c r="N13" s="183"/>
      <c r="O13" s="183"/>
      <c r="P13" s="206" t="s">
        <v>208</v>
      </c>
      <c r="Q13" s="201"/>
      <c r="R13" s="207"/>
      <c r="S13" s="504">
        <f>SUMPRODUCT(G26:G56,L26:L56)</f>
        <v>32.205059409735533</v>
      </c>
      <c r="T13" s="193" t="s">
        <v>156</v>
      </c>
      <c r="U13" s="182"/>
      <c r="V13" s="128"/>
      <c r="W13" s="128"/>
      <c r="X13" s="128"/>
      <c r="Y13" s="128"/>
      <c r="Z13" s="137"/>
      <c r="AA13" s="128"/>
      <c r="AB13" s="128"/>
      <c r="AC13" s="128"/>
      <c r="AD13" s="128"/>
      <c r="AE13" s="128"/>
    </row>
    <row r="14" spans="1:31" ht="12.75" outlineLevel="1" x14ac:dyDescent="0.2">
      <c r="A14" s="182"/>
      <c r="B14" s="571" t="s">
        <v>357</v>
      </c>
      <c r="C14" s="571"/>
      <c r="D14" s="571"/>
      <c r="E14" s="571"/>
      <c r="F14" s="482"/>
      <c r="G14" s="153">
        <v>0.88900000000000001</v>
      </c>
      <c r="H14" s="482"/>
      <c r="I14" s="558"/>
      <c r="K14" s="202"/>
      <c r="L14" s="202"/>
      <c r="M14" s="182"/>
      <c r="N14" s="183"/>
      <c r="O14" s="182"/>
      <c r="P14" s="210" t="s">
        <v>209</v>
      </c>
      <c r="Q14" s="201"/>
      <c r="R14" s="207"/>
      <c r="S14" s="504">
        <f>SUMPRODUCT(G26:G56,M26:M56)</f>
        <v>25.060901326031427</v>
      </c>
      <c r="T14" s="193" t="s">
        <v>156</v>
      </c>
      <c r="U14" s="195"/>
      <c r="V14" s="128"/>
      <c r="W14" s="128"/>
      <c r="X14" s="128"/>
      <c r="Y14" s="128"/>
      <c r="Z14" s="137"/>
      <c r="AA14" s="128"/>
      <c r="AB14" s="128"/>
      <c r="AC14" s="128"/>
      <c r="AD14" s="128"/>
      <c r="AE14" s="128"/>
    </row>
    <row r="15" spans="1:31" s="566" customFormat="1" ht="12.75" outlineLevel="1" x14ac:dyDescent="0.2">
      <c r="A15" s="567"/>
      <c r="B15" s="568" t="s">
        <v>358</v>
      </c>
      <c r="C15" s="568"/>
      <c r="D15" s="568"/>
      <c r="E15" s="568"/>
      <c r="F15" s="568"/>
      <c r="G15" s="153">
        <v>0.96</v>
      </c>
      <c r="H15" s="568"/>
      <c r="I15" s="568"/>
      <c r="K15" s="568"/>
      <c r="L15" s="568"/>
      <c r="M15" s="567"/>
      <c r="O15" s="567"/>
      <c r="P15" s="210" t="s">
        <v>210</v>
      </c>
      <c r="Q15" s="201"/>
      <c r="R15" s="207"/>
      <c r="S15" s="208">
        <f>G12</f>
        <v>89.51</v>
      </c>
      <c r="T15" s="193" t="s">
        <v>156</v>
      </c>
      <c r="U15" s="574"/>
      <c r="V15" s="567"/>
      <c r="W15" s="567"/>
      <c r="X15" s="567"/>
      <c r="Y15" s="567"/>
      <c r="Z15" s="420"/>
      <c r="AA15" s="567"/>
      <c r="AB15" s="567"/>
      <c r="AC15" s="567"/>
      <c r="AD15" s="567"/>
      <c r="AE15" s="567"/>
    </row>
    <row r="16" spans="1:31" s="566" customFormat="1" ht="12.75" outlineLevel="1" x14ac:dyDescent="0.2">
      <c r="A16" s="567"/>
      <c r="B16" s="571" t="s">
        <v>359</v>
      </c>
      <c r="C16" s="571"/>
      <c r="D16" s="571"/>
      <c r="E16" s="571"/>
      <c r="F16" s="568"/>
      <c r="G16" s="153">
        <v>0.97</v>
      </c>
      <c r="H16" s="568"/>
      <c r="I16" s="568"/>
      <c r="K16" s="568"/>
      <c r="L16" s="568"/>
      <c r="M16" s="567"/>
      <c r="O16" s="567"/>
      <c r="P16" s="210" t="s">
        <v>211</v>
      </c>
      <c r="Q16" s="201"/>
      <c r="R16" s="207"/>
      <c r="S16" s="211">
        <f>S14/S15</f>
        <v>0.27997878813575494</v>
      </c>
      <c r="T16" s="193"/>
      <c r="U16" s="574"/>
      <c r="V16" s="567"/>
      <c r="W16" s="567"/>
      <c r="X16" s="567"/>
      <c r="Y16" s="567"/>
      <c r="Z16" s="420"/>
      <c r="AA16" s="567"/>
      <c r="AB16" s="567"/>
      <c r="AC16" s="567"/>
      <c r="AD16" s="567"/>
      <c r="AE16" s="567"/>
    </row>
    <row r="17" spans="1:31" ht="12.75" outlineLevel="1" x14ac:dyDescent="0.2">
      <c r="H17" s="482"/>
      <c r="I17" s="558"/>
      <c r="K17" s="202"/>
      <c r="L17" s="202"/>
      <c r="M17" s="182"/>
      <c r="N17" s="183"/>
      <c r="O17" s="182"/>
      <c r="P17" s="210" t="s">
        <v>182</v>
      </c>
      <c r="Q17" s="201"/>
      <c r="R17" s="207"/>
      <c r="S17" s="213">
        <f>SUM(N26:N56)/1000</f>
        <v>204.38568441852883</v>
      </c>
      <c r="T17" s="214" t="s">
        <v>222</v>
      </c>
      <c r="U17" s="209"/>
      <c r="V17" s="128"/>
      <c r="W17" s="128"/>
      <c r="X17" s="128"/>
      <c r="Y17" s="128"/>
      <c r="Z17" s="137"/>
      <c r="AA17" s="128"/>
      <c r="AB17" s="128"/>
      <c r="AC17" s="128"/>
      <c r="AD17" s="128"/>
      <c r="AE17" s="128"/>
    </row>
    <row r="18" spans="1:31" ht="12.75" outlineLevel="1" x14ac:dyDescent="0.2">
      <c r="H18" s="202"/>
      <c r="I18" s="558"/>
      <c r="K18" s="202"/>
      <c r="L18" s="202"/>
      <c r="M18" s="182"/>
      <c r="N18" s="183"/>
      <c r="O18" s="182"/>
      <c r="P18" s="210" t="s">
        <v>213</v>
      </c>
      <c r="Q18" s="201"/>
      <c r="R18" s="207"/>
      <c r="S18" s="216">
        <f>S14/1.3</f>
        <v>19.277616404639559</v>
      </c>
      <c r="T18" s="217"/>
      <c r="U18" s="182"/>
      <c r="V18" s="128"/>
      <c r="W18" s="128"/>
      <c r="X18" s="128"/>
      <c r="Y18" s="128"/>
      <c r="Z18" s="137"/>
      <c r="AA18" s="128"/>
      <c r="AB18" s="128"/>
      <c r="AC18" s="128"/>
      <c r="AD18" s="128"/>
      <c r="AE18" s="128"/>
    </row>
    <row r="19" spans="1:31" ht="12.75" outlineLevel="1" x14ac:dyDescent="0.2">
      <c r="A19" s="184" t="s">
        <v>212</v>
      </c>
      <c r="B19" s="187"/>
      <c r="C19" s="187"/>
      <c r="D19" s="187"/>
      <c r="E19" s="187"/>
      <c r="F19" s="186"/>
      <c r="G19" s="186">
        <v>0</v>
      </c>
      <c r="H19" s="182"/>
      <c r="I19" s="557"/>
      <c r="K19" s="182"/>
      <c r="L19" s="182"/>
      <c r="M19" s="182"/>
      <c r="N19" s="183"/>
      <c r="O19" s="182"/>
      <c r="U19" s="182"/>
      <c r="W19" s="131"/>
      <c r="X19" s="128"/>
      <c r="Y19" s="128"/>
      <c r="Z19" s="137"/>
      <c r="AA19" s="128"/>
      <c r="AB19" s="128"/>
      <c r="AC19" s="128"/>
      <c r="AD19" s="128"/>
      <c r="AE19" s="128"/>
    </row>
    <row r="20" spans="1:31" ht="12.75" outlineLevel="1" x14ac:dyDescent="0.2">
      <c r="A20" s="182"/>
      <c r="B20" s="201" t="s">
        <v>214</v>
      </c>
      <c r="C20" s="201"/>
      <c r="D20" s="201"/>
      <c r="E20" s="201"/>
      <c r="F20" s="190"/>
      <c r="G20" s="142">
        <v>0.95</v>
      </c>
      <c r="H20" s="182"/>
      <c r="I20" s="557"/>
      <c r="K20" s="182"/>
      <c r="L20" s="182"/>
      <c r="M20" s="202"/>
      <c r="N20" s="183"/>
      <c r="O20" s="182"/>
      <c r="U20" s="182"/>
      <c r="W20" s="128"/>
      <c r="X20" s="128"/>
      <c r="Y20" s="139"/>
      <c r="Z20" s="133"/>
      <c r="AA20" s="128"/>
      <c r="AB20" s="128"/>
      <c r="AC20" s="128"/>
      <c r="AD20" s="128"/>
    </row>
    <row r="21" spans="1:31" ht="12.75" outlineLevel="1" x14ac:dyDescent="0.2">
      <c r="A21" s="182"/>
      <c r="B21" s="212" t="s">
        <v>181</v>
      </c>
      <c r="C21" s="203"/>
      <c r="D21" s="203"/>
      <c r="E21" s="203"/>
      <c r="F21" s="190"/>
      <c r="G21" s="142">
        <v>0.98</v>
      </c>
      <c r="H21" s="182"/>
      <c r="I21" s="557"/>
      <c r="K21" s="182"/>
      <c r="L21" s="182"/>
      <c r="M21" s="182"/>
      <c r="N21" s="183"/>
      <c r="U21" s="182"/>
      <c r="W21" s="128"/>
      <c r="X21" s="128"/>
      <c r="Y21" s="139"/>
      <c r="Z21" s="133"/>
      <c r="AA21" s="128"/>
      <c r="AB21" s="128"/>
      <c r="AC21" s="128"/>
      <c r="AD21" s="128"/>
    </row>
    <row r="22" spans="1:31" ht="12.75" outlineLevel="1" x14ac:dyDescent="0.2">
      <c r="A22" s="182"/>
      <c r="B22" s="202"/>
      <c r="C22" s="202"/>
      <c r="D22" s="202"/>
      <c r="E22" s="202"/>
      <c r="F22" s="215"/>
      <c r="G22" s="215"/>
      <c r="H22" s="430"/>
      <c r="I22" s="560"/>
      <c r="J22" s="202"/>
      <c r="K22" s="202"/>
      <c r="L22" s="202"/>
      <c r="M22" s="182"/>
      <c r="N22" s="183"/>
      <c r="U22" s="182"/>
      <c r="W22" s="128"/>
      <c r="X22" s="128"/>
      <c r="Y22" s="139"/>
      <c r="Z22" s="133"/>
      <c r="AA22" s="128"/>
      <c r="AB22" s="128"/>
      <c r="AC22" s="128"/>
      <c r="AD22" s="128"/>
    </row>
    <row r="23" spans="1:31" ht="14.25" x14ac:dyDescent="0.2">
      <c r="A23" s="184" t="s">
        <v>180</v>
      </c>
      <c r="B23" s="218"/>
      <c r="C23" s="202"/>
      <c r="D23" s="202"/>
      <c r="E23" s="202"/>
      <c r="F23" s="215"/>
      <c r="G23" s="215"/>
      <c r="H23" s="430"/>
      <c r="I23" s="560"/>
      <c r="J23" s="202"/>
      <c r="K23" s="202"/>
      <c r="L23" s="202"/>
      <c r="M23" s="182"/>
      <c r="N23" s="183"/>
      <c r="O23" s="182"/>
      <c r="P23" s="182"/>
      <c r="Q23" s="182"/>
      <c r="R23" s="182"/>
      <c r="S23" s="219"/>
      <c r="T23" s="219"/>
      <c r="U23" s="182"/>
      <c r="W23" s="128"/>
      <c r="X23" s="128"/>
      <c r="Y23" s="128"/>
      <c r="Z23" s="133"/>
      <c r="AA23" s="139"/>
      <c r="AB23" s="128"/>
      <c r="AC23" s="128"/>
      <c r="AD23" s="128"/>
    </row>
    <row r="24" spans="1:31" ht="12.75" outlineLevel="1" x14ac:dyDescent="0.2">
      <c r="A24" s="182"/>
      <c r="F24" s="513" t="s">
        <v>307</v>
      </c>
      <c r="G24" s="507" t="s">
        <v>216</v>
      </c>
      <c r="H24" s="517" t="s">
        <v>306</v>
      </c>
      <c r="I24" s="507" t="s">
        <v>146</v>
      </c>
      <c r="J24" s="551" t="s">
        <v>217</v>
      </c>
      <c r="K24" s="570" t="s">
        <v>218</v>
      </c>
      <c r="L24" s="576" t="s">
        <v>219</v>
      </c>
      <c r="M24" s="569" t="s">
        <v>220</v>
      </c>
      <c r="N24" s="576" t="s">
        <v>221</v>
      </c>
      <c r="O24" s="182"/>
      <c r="P24" s="183"/>
      <c r="Q24" s="183"/>
      <c r="R24" s="183"/>
      <c r="S24" s="183"/>
      <c r="T24" s="183"/>
      <c r="U24" s="183"/>
      <c r="W24" s="128"/>
      <c r="X24" s="128"/>
      <c r="Y24" s="128"/>
      <c r="Z24" s="133"/>
      <c r="AA24" s="139"/>
      <c r="AB24" s="128"/>
      <c r="AC24" s="128"/>
      <c r="AD24" s="128"/>
    </row>
    <row r="25" spans="1:31" ht="12.75" outlineLevel="1" x14ac:dyDescent="0.2">
      <c r="A25" s="183"/>
      <c r="F25" s="519" t="s">
        <v>200</v>
      </c>
      <c r="G25" s="531" t="s">
        <v>254</v>
      </c>
      <c r="H25" s="552" t="s">
        <v>308</v>
      </c>
      <c r="I25" s="531" t="s">
        <v>145</v>
      </c>
      <c r="J25" s="515"/>
      <c r="K25" s="575" t="s">
        <v>156</v>
      </c>
      <c r="L25" s="573" t="s">
        <v>156</v>
      </c>
      <c r="M25" s="572" t="s">
        <v>156</v>
      </c>
      <c r="N25" s="573" t="s">
        <v>255</v>
      </c>
      <c r="O25" s="182"/>
      <c r="P25" s="183"/>
      <c r="Q25" s="183"/>
      <c r="R25" s="183"/>
      <c r="S25" s="183"/>
      <c r="T25" s="183"/>
      <c r="U25" s="182"/>
      <c r="X25" s="128"/>
      <c r="Y25" s="128"/>
      <c r="Z25" s="133"/>
      <c r="AA25" s="128"/>
      <c r="AB25" s="128"/>
    </row>
    <row r="26" spans="1:31" ht="15" outlineLevel="1" x14ac:dyDescent="0.25">
      <c r="A26" s="183"/>
      <c r="F26" s="592">
        <v>0</v>
      </c>
      <c r="G26" s="588">
        <v>0</v>
      </c>
      <c r="H26" s="505">
        <v>0</v>
      </c>
      <c r="I26" s="550">
        <v>0</v>
      </c>
      <c r="J26" s="502">
        <v>0</v>
      </c>
      <c r="K26" s="590">
        <f>IF(G26&gt;0,0.5*H26^3*$G$11,0)</f>
        <v>0</v>
      </c>
      <c r="L26" s="590">
        <f t="shared" ref="L26:L44" si="0">K26*J26</f>
        <v>0</v>
      </c>
      <c r="M26" s="590">
        <f>MIN(L26*$G$13*$G$14*$G$15*$G$16,$G$12)</f>
        <v>0</v>
      </c>
      <c r="N26" s="590">
        <f>M26*G26*24*365*$G$21*$G$20</f>
        <v>0</v>
      </c>
      <c r="O26" s="182"/>
      <c r="P26" s="183"/>
      <c r="Q26" s="183"/>
      <c r="R26" s="183"/>
      <c r="S26" s="183"/>
      <c r="T26" s="183"/>
      <c r="U26" s="220"/>
      <c r="X26" s="128"/>
      <c r="Y26" s="128"/>
      <c r="Z26" s="133"/>
      <c r="AA26" s="128"/>
      <c r="AB26" s="128"/>
    </row>
    <row r="27" spans="1:31" ht="15" outlineLevel="1" x14ac:dyDescent="0.25">
      <c r="A27" s="183"/>
      <c r="F27" s="587">
        <v>0.1</v>
      </c>
      <c r="G27" s="588">
        <v>0</v>
      </c>
      <c r="H27" s="591">
        <v>0</v>
      </c>
      <c r="I27" s="586">
        <v>4.2675792877074699</v>
      </c>
      <c r="J27" s="589">
        <v>0</v>
      </c>
      <c r="K27" s="590">
        <f t="shared" ref="K27:K56" si="1">IF(G27&gt;0,0.5*H27^3*$G$11,0)</f>
        <v>0</v>
      </c>
      <c r="L27" s="511">
        <f t="shared" si="0"/>
        <v>0</v>
      </c>
      <c r="M27" s="590">
        <f t="shared" ref="M27:M56" si="2">MIN(L27*$G$13*$G$14*$G$15*$G$16,$G$12)</f>
        <v>0</v>
      </c>
      <c r="N27" s="590">
        <f t="shared" ref="N27:N56" si="3">M27*G27*24*365*$G$21*$G$20</f>
        <v>0</v>
      </c>
      <c r="O27" s="182"/>
      <c r="P27" s="183"/>
      <c r="Q27" s="183"/>
      <c r="R27" s="183"/>
      <c r="S27" s="183"/>
      <c r="T27" s="183"/>
      <c r="U27" s="221"/>
      <c r="X27" s="128"/>
      <c r="Y27" s="128"/>
      <c r="Z27" s="133"/>
      <c r="AA27" s="128"/>
      <c r="AB27" s="128"/>
    </row>
    <row r="28" spans="1:31" ht="15" outlineLevel="1" x14ac:dyDescent="0.25">
      <c r="A28" s="183"/>
      <c r="F28" s="587">
        <v>0.2</v>
      </c>
      <c r="G28" s="588">
        <v>0</v>
      </c>
      <c r="H28" s="591">
        <v>0.1627402141271711</v>
      </c>
      <c r="I28" s="586">
        <v>6.8194123545189509</v>
      </c>
      <c r="J28" s="589">
        <v>0</v>
      </c>
      <c r="K28" s="590">
        <f t="shared" si="1"/>
        <v>0</v>
      </c>
      <c r="L28" s="511">
        <f t="shared" si="0"/>
        <v>0</v>
      </c>
      <c r="M28" s="590">
        <f t="shared" si="2"/>
        <v>0</v>
      </c>
      <c r="N28" s="590">
        <f t="shared" si="3"/>
        <v>0</v>
      </c>
      <c r="O28" s="182"/>
      <c r="P28" s="183"/>
      <c r="Q28" s="183"/>
      <c r="R28" s="183"/>
      <c r="S28" s="183"/>
      <c r="T28" s="183"/>
      <c r="U28" s="222"/>
      <c r="X28" s="128"/>
      <c r="Y28" s="128"/>
      <c r="Z28" s="133"/>
      <c r="AA28" s="128"/>
      <c r="AB28" s="128"/>
    </row>
    <row r="29" spans="1:31" ht="15" outlineLevel="1" x14ac:dyDescent="0.25">
      <c r="A29" s="183"/>
      <c r="F29" s="587">
        <v>0.3</v>
      </c>
      <c r="G29" s="588">
        <v>0</v>
      </c>
      <c r="H29" s="591">
        <v>0.25708304679480537</v>
      </c>
      <c r="I29" s="586">
        <v>8.0134617679300284</v>
      </c>
      <c r="J29" s="589">
        <v>0</v>
      </c>
      <c r="K29" s="590">
        <f t="shared" si="1"/>
        <v>0</v>
      </c>
      <c r="L29" s="511">
        <f t="shared" si="0"/>
        <v>0</v>
      </c>
      <c r="M29" s="590">
        <f t="shared" si="2"/>
        <v>0</v>
      </c>
      <c r="N29" s="590">
        <f t="shared" si="3"/>
        <v>0</v>
      </c>
      <c r="O29" s="182"/>
      <c r="P29" s="183"/>
      <c r="Q29" s="183"/>
      <c r="R29" s="183"/>
      <c r="S29" s="183"/>
      <c r="T29" s="183"/>
      <c r="U29" s="223"/>
      <c r="W29" s="140"/>
      <c r="X29" s="128"/>
      <c r="Y29" s="128"/>
      <c r="AA29" s="128"/>
      <c r="AB29" s="128"/>
    </row>
    <row r="30" spans="1:31" ht="15" outlineLevel="1" x14ac:dyDescent="0.25">
      <c r="A30" s="183"/>
      <c r="F30" s="587">
        <v>0.4</v>
      </c>
      <c r="G30" s="588">
        <v>3.2853309970979575E-4</v>
      </c>
      <c r="H30" s="591">
        <v>0.35283924643118181</v>
      </c>
      <c r="I30" s="586">
        <v>9.1508479790087467</v>
      </c>
      <c r="J30" s="589">
        <v>0</v>
      </c>
      <c r="K30" s="590">
        <f t="shared" si="1"/>
        <v>1.3713102869268774</v>
      </c>
      <c r="L30" s="511">
        <f t="shared" si="0"/>
        <v>0</v>
      </c>
      <c r="M30" s="590">
        <f t="shared" si="2"/>
        <v>0</v>
      </c>
      <c r="N30" s="590">
        <f t="shared" si="3"/>
        <v>0</v>
      </c>
      <c r="O30" s="182"/>
      <c r="P30" s="183"/>
      <c r="Q30" s="183"/>
      <c r="R30" s="183"/>
      <c r="S30" s="183"/>
      <c r="T30" s="183"/>
      <c r="U30" s="224"/>
      <c r="W30" s="141"/>
      <c r="X30" s="128"/>
      <c r="Y30" s="128"/>
      <c r="Z30" s="133"/>
      <c r="AA30" s="128"/>
      <c r="AB30" s="128"/>
    </row>
    <row r="31" spans="1:31" ht="15" outlineLevel="1" x14ac:dyDescent="0.25">
      <c r="A31" s="183"/>
      <c r="F31" s="587">
        <v>0.5</v>
      </c>
      <c r="G31" s="588">
        <v>1.5824344302688496E-2</v>
      </c>
      <c r="H31" s="591">
        <v>0.44938169946449963</v>
      </c>
      <c r="I31" s="586">
        <v>10.234176967930029</v>
      </c>
      <c r="J31" s="589">
        <v>0</v>
      </c>
      <c r="K31" s="590">
        <f t="shared" si="1"/>
        <v>2.8330303247331012</v>
      </c>
      <c r="L31" s="511">
        <f t="shared" si="0"/>
        <v>0</v>
      </c>
      <c r="M31" s="590">
        <f t="shared" si="2"/>
        <v>0</v>
      </c>
      <c r="N31" s="590">
        <f t="shared" si="3"/>
        <v>0</v>
      </c>
      <c r="O31" s="182"/>
      <c r="P31" s="183"/>
      <c r="Q31" s="183"/>
      <c r="R31" s="183"/>
      <c r="S31" s="183"/>
      <c r="T31" s="183"/>
      <c r="U31" s="183"/>
      <c r="W31" s="138"/>
      <c r="Z31" s="133"/>
    </row>
    <row r="32" spans="1:31" ht="15" outlineLevel="1" x14ac:dyDescent="0.25">
      <c r="A32" s="183"/>
      <c r="F32" s="587">
        <v>0.6</v>
      </c>
      <c r="G32" s="588">
        <v>4.3694902261402838E-2</v>
      </c>
      <c r="H32" s="591">
        <v>0.54640333850737499</v>
      </c>
      <c r="I32" s="586">
        <v>11.266054714868805</v>
      </c>
      <c r="J32" s="589">
        <v>0</v>
      </c>
      <c r="K32" s="590">
        <f t="shared" si="1"/>
        <v>5.0926650007081138</v>
      </c>
      <c r="L32" s="511">
        <f t="shared" si="0"/>
        <v>0</v>
      </c>
      <c r="M32" s="590">
        <f t="shared" si="2"/>
        <v>0</v>
      </c>
      <c r="N32" s="590">
        <f t="shared" si="3"/>
        <v>0</v>
      </c>
      <c r="O32" s="182"/>
      <c r="P32" s="183"/>
      <c r="Q32" s="183"/>
      <c r="R32" s="183"/>
      <c r="S32" s="183"/>
      <c r="T32" s="183"/>
      <c r="U32" s="183"/>
      <c r="V32" s="128"/>
      <c r="W32" s="128"/>
      <c r="Z32" s="133"/>
    </row>
    <row r="33" spans="1:22" ht="15" outlineLevel="1" x14ac:dyDescent="0.25">
      <c r="A33" s="183"/>
      <c r="F33" s="587">
        <v>0.7</v>
      </c>
      <c r="G33" s="588">
        <v>7.6329190165909222E-2</v>
      </c>
      <c r="H33" s="591">
        <v>0.64404541531055681</v>
      </c>
      <c r="I33" s="586">
        <v>12.303362585962018</v>
      </c>
      <c r="J33" s="589">
        <v>0.45564755194637729</v>
      </c>
      <c r="K33" s="590">
        <f t="shared" si="1"/>
        <v>8.3397792521163403</v>
      </c>
      <c r="L33" s="511">
        <f t="shared" si="0"/>
        <v>3.8</v>
      </c>
      <c r="M33" s="590">
        <f t="shared" si="2"/>
        <v>2.9570330495999997</v>
      </c>
      <c r="N33" s="590">
        <f t="shared" si="3"/>
        <v>1840.7746305889564</v>
      </c>
      <c r="O33" s="182"/>
      <c r="P33" s="183"/>
      <c r="Q33" s="183"/>
      <c r="R33" s="183"/>
      <c r="S33" s="183"/>
      <c r="T33" s="183"/>
      <c r="U33" s="183"/>
      <c r="V33" s="128"/>
    </row>
    <row r="34" spans="1:22" ht="15" outlineLevel="1" x14ac:dyDescent="0.25">
      <c r="A34" s="183"/>
      <c r="F34" s="587">
        <v>0.8</v>
      </c>
      <c r="G34" s="588">
        <v>0.10688276843892022</v>
      </c>
      <c r="H34" s="591">
        <v>0.74152450317739227</v>
      </c>
      <c r="I34" s="586">
        <v>13.230580954377873</v>
      </c>
      <c r="J34" s="589">
        <v>0.45566576195920788</v>
      </c>
      <c r="K34" s="590">
        <f t="shared" si="1"/>
        <v>12.728628051978212</v>
      </c>
      <c r="L34" s="511">
        <f t="shared" si="0"/>
        <v>5.8</v>
      </c>
      <c r="M34" s="590">
        <f t="shared" si="2"/>
        <v>4.5133662336000002</v>
      </c>
      <c r="N34" s="590">
        <f t="shared" si="3"/>
        <v>3934.2509359049932</v>
      </c>
      <c r="O34" s="182"/>
      <c r="P34" s="183"/>
      <c r="Q34" s="183"/>
      <c r="R34" s="183"/>
      <c r="S34" s="183"/>
      <c r="T34" s="183"/>
      <c r="U34" s="183"/>
      <c r="V34" s="128"/>
    </row>
    <row r="35" spans="1:22" ht="15" outlineLevel="1" x14ac:dyDescent="0.25">
      <c r="A35" s="183"/>
      <c r="F35" s="587">
        <v>0.9</v>
      </c>
      <c r="G35" s="588">
        <v>9.9107485079121718E-2</v>
      </c>
      <c r="H35" s="591">
        <v>0.83912113663773547</v>
      </c>
      <c r="I35" s="586">
        <v>14.106279273064168</v>
      </c>
      <c r="J35" s="589">
        <v>0.46625058843528699</v>
      </c>
      <c r="K35" s="590">
        <f t="shared" si="1"/>
        <v>18.445016935766574</v>
      </c>
      <c r="L35" s="511">
        <f t="shared" si="0"/>
        <v>8.6</v>
      </c>
      <c r="M35" s="590">
        <f t="shared" si="2"/>
        <v>6.6922326911999992</v>
      </c>
      <c r="N35" s="590">
        <f t="shared" si="3"/>
        <v>5409.1780374061191</v>
      </c>
      <c r="O35" s="182"/>
      <c r="P35" s="183"/>
      <c r="Q35" s="183"/>
      <c r="R35" s="183"/>
      <c r="S35" s="183"/>
      <c r="T35" s="183"/>
      <c r="U35" s="183"/>
      <c r="V35" s="128"/>
    </row>
    <row r="36" spans="1:22" ht="15" outlineLevel="1" x14ac:dyDescent="0.25">
      <c r="A36" s="183"/>
      <c r="F36" s="587">
        <v>1</v>
      </c>
      <c r="G36" s="588">
        <v>8.2297541477303837E-2</v>
      </c>
      <c r="H36" s="591">
        <v>0.93682525335985289</v>
      </c>
      <c r="I36" s="586">
        <v>14.938618909406451</v>
      </c>
      <c r="J36" s="589">
        <v>0.46752022381223934</v>
      </c>
      <c r="K36" s="590">
        <f t="shared" si="1"/>
        <v>25.667338841836532</v>
      </c>
      <c r="L36" s="511">
        <f t="shared" si="0"/>
        <v>12</v>
      </c>
      <c r="M36" s="590">
        <f t="shared" si="2"/>
        <v>9.3379991039999997</v>
      </c>
      <c r="N36" s="590">
        <f t="shared" si="3"/>
        <v>6267.5019325874837</v>
      </c>
      <c r="O36" s="182"/>
      <c r="P36" s="183"/>
      <c r="Q36" s="183"/>
      <c r="R36" s="183"/>
      <c r="S36" s="183"/>
      <c r="T36" s="183"/>
      <c r="U36" s="183"/>
      <c r="V36" s="128"/>
    </row>
    <row r="37" spans="1:22" ht="15" outlineLevel="1" x14ac:dyDescent="0.25">
      <c r="A37" s="183"/>
      <c r="F37" s="587">
        <v>1.1000000000000001</v>
      </c>
      <c r="G37" s="588">
        <v>7.5179324316924936E-2</v>
      </c>
      <c r="H37" s="591">
        <v>1.0346265783404356</v>
      </c>
      <c r="I37" s="586">
        <v>15.733791927897535</v>
      </c>
      <c r="J37" s="589">
        <v>0.47433795793016609</v>
      </c>
      <c r="K37" s="590">
        <f t="shared" si="1"/>
        <v>34.574504793087783</v>
      </c>
      <c r="L37" s="511">
        <f t="shared" si="0"/>
        <v>16.399999999999999</v>
      </c>
      <c r="M37" s="590">
        <f t="shared" si="2"/>
        <v>12.761932108799998</v>
      </c>
      <c r="N37" s="590">
        <f t="shared" si="3"/>
        <v>7824.7169281691549</v>
      </c>
      <c r="O37" s="182"/>
      <c r="P37" s="183"/>
      <c r="Q37" s="183"/>
      <c r="R37" s="183"/>
      <c r="S37" s="183"/>
      <c r="T37" s="183"/>
      <c r="U37" s="183"/>
    </row>
    <row r="38" spans="1:22" ht="15" outlineLevel="1" x14ac:dyDescent="0.25">
      <c r="A38" s="183"/>
      <c r="F38" s="587">
        <v>1.2</v>
      </c>
      <c r="G38" s="588">
        <v>6.4337732026501671E-2</v>
      </c>
      <c r="H38" s="591">
        <v>1.1325156444604334</v>
      </c>
      <c r="I38" s="586">
        <v>16.496630565989783</v>
      </c>
      <c r="J38" s="589">
        <v>0.47633889491760839</v>
      </c>
      <c r="K38" s="590">
        <f t="shared" si="1"/>
        <v>45.345866630807294</v>
      </c>
      <c r="L38" s="511">
        <f t="shared" si="0"/>
        <v>21.6</v>
      </c>
      <c r="M38" s="590">
        <f t="shared" si="2"/>
        <v>16.808398387199997</v>
      </c>
      <c r="N38" s="590">
        <f t="shared" si="3"/>
        <v>8819.5386476530457</v>
      </c>
      <c r="O38" s="182"/>
      <c r="P38" s="183"/>
      <c r="Q38" s="183"/>
      <c r="R38" s="183"/>
      <c r="S38" s="183"/>
      <c r="T38" s="183"/>
      <c r="U38" s="183"/>
    </row>
    <row r="39" spans="1:22" ht="15" outlineLevel="1" x14ac:dyDescent="0.25">
      <c r="A39" s="183"/>
      <c r="F39" s="587">
        <v>1.3</v>
      </c>
      <c r="G39" s="588">
        <v>5.6562448666703166E-2</v>
      </c>
      <c r="H39" s="591">
        <v>1.2304840457124593</v>
      </c>
      <c r="I39" s="586">
        <v>17.230993301012859</v>
      </c>
      <c r="J39" s="589">
        <v>0.47798223806077206</v>
      </c>
      <c r="K39" s="590">
        <f t="shared" si="1"/>
        <v>58.161157018695384</v>
      </c>
      <c r="L39" s="511">
        <f t="shared" si="0"/>
        <v>27.8</v>
      </c>
      <c r="M39" s="590">
        <f t="shared" si="2"/>
        <v>21.633031257599995</v>
      </c>
      <c r="N39" s="590">
        <f t="shared" si="3"/>
        <v>9979.2836548507294</v>
      </c>
      <c r="O39" s="182"/>
      <c r="P39" s="183"/>
      <c r="Q39" s="183"/>
      <c r="R39" s="183"/>
      <c r="S39" s="183"/>
      <c r="T39" s="183"/>
      <c r="U39" s="183"/>
    </row>
    <row r="40" spans="1:22" ht="15" outlineLevel="1" x14ac:dyDescent="0.25">
      <c r="A40" s="183"/>
      <c r="F40" s="587">
        <v>1.4</v>
      </c>
      <c r="G40" s="588">
        <v>5.4481739035207789E-2</v>
      </c>
      <c r="H40" s="591">
        <v>1.328524420829166</v>
      </c>
      <c r="I40" s="586">
        <v>17.940020225520843</v>
      </c>
      <c r="J40" s="589">
        <v>0.48087141463749494</v>
      </c>
      <c r="K40" s="590">
        <f t="shared" si="1"/>
        <v>73.200441799052527</v>
      </c>
      <c r="L40" s="511">
        <f t="shared" si="0"/>
        <v>35.200000000000003</v>
      </c>
      <c r="M40" s="590">
        <f t="shared" si="2"/>
        <v>27.391464038399999</v>
      </c>
      <c r="N40" s="590">
        <f t="shared" si="3"/>
        <v>12170.824333940122</v>
      </c>
      <c r="O40" s="182"/>
      <c r="P40" s="183"/>
      <c r="Q40" s="183"/>
      <c r="R40" s="183"/>
      <c r="S40" s="183"/>
      <c r="T40" s="183"/>
      <c r="U40" s="183"/>
    </row>
    <row r="41" spans="1:22" ht="15" outlineLevel="1" x14ac:dyDescent="0.25">
      <c r="A41" s="183"/>
      <c r="F41" s="587">
        <v>1.5</v>
      </c>
      <c r="G41" s="588">
        <v>5.1305919071346441E-2</v>
      </c>
      <c r="H41" s="591">
        <v>1.4266303491599421</v>
      </c>
      <c r="I41" s="586">
        <v>18.626308108794255</v>
      </c>
      <c r="J41" s="589">
        <v>0.48320860344866529</v>
      </c>
      <c r="K41" s="590">
        <f t="shared" si="1"/>
        <v>90.644081432737124</v>
      </c>
      <c r="L41" s="511">
        <f t="shared" si="0"/>
        <v>43.8</v>
      </c>
      <c r="M41" s="590">
        <f t="shared" si="2"/>
        <v>34.083696729599993</v>
      </c>
      <c r="N41" s="590">
        <f t="shared" si="3"/>
        <v>14261.590142745057</v>
      </c>
      <c r="O41" s="182"/>
      <c r="P41" s="183"/>
      <c r="Q41" s="183"/>
      <c r="R41" s="183"/>
      <c r="S41" s="183"/>
      <c r="T41" s="183"/>
      <c r="U41" s="183"/>
    </row>
    <row r="42" spans="1:22" ht="15" outlineLevel="1" x14ac:dyDescent="0.25">
      <c r="A42" s="183"/>
      <c r="F42" s="587">
        <v>1.6</v>
      </c>
      <c r="G42" s="588">
        <v>4.4570990527295615E-2</v>
      </c>
      <c r="H42" s="591">
        <v>1.5247962271692796</v>
      </c>
      <c r="I42" s="586">
        <v>19.292034048297584</v>
      </c>
      <c r="J42" s="589">
        <v>0.47888955762312174</v>
      </c>
      <c r="K42" s="590">
        <f t="shared" si="1"/>
        <v>110.67269928176245</v>
      </c>
      <c r="L42" s="511">
        <f t="shared" si="0"/>
        <v>53</v>
      </c>
      <c r="M42" s="590">
        <f t="shared" si="2"/>
        <v>41.242829375999996</v>
      </c>
      <c r="N42" s="590">
        <f t="shared" si="3"/>
        <v>14991.825702799353</v>
      </c>
      <c r="O42" s="182"/>
      <c r="P42" s="183"/>
      <c r="Q42" s="183"/>
      <c r="R42" s="183"/>
      <c r="S42" s="183"/>
      <c r="T42" s="183"/>
      <c r="U42" s="183"/>
    </row>
    <row r="43" spans="1:22" ht="15" outlineLevel="1" x14ac:dyDescent="0.25">
      <c r="A43" s="183"/>
      <c r="F43" s="587">
        <v>1.7</v>
      </c>
      <c r="G43" s="588">
        <v>4.7692054974538683E-2</v>
      </c>
      <c r="H43" s="591">
        <v>1.6230171506729674</v>
      </c>
      <c r="I43" s="586">
        <v>19.939045062303407</v>
      </c>
      <c r="J43" s="589">
        <v>0.4600382763006568</v>
      </c>
      <c r="K43" s="590">
        <f t="shared" si="1"/>
        <v>133.46715515443805</v>
      </c>
      <c r="L43" s="511">
        <f t="shared" si="0"/>
        <v>61.4</v>
      </c>
      <c r="M43" s="590">
        <f t="shared" si="2"/>
        <v>47.779428748799994</v>
      </c>
      <c r="N43" s="590">
        <f t="shared" si="3"/>
        <v>18584.067578932085</v>
      </c>
      <c r="O43" s="182"/>
      <c r="P43" s="183"/>
      <c r="Q43" s="183"/>
      <c r="R43" s="183"/>
      <c r="S43" s="183"/>
      <c r="T43" s="183"/>
      <c r="U43" s="183"/>
    </row>
    <row r="44" spans="1:22" ht="15" outlineLevel="1" x14ac:dyDescent="0.25">
      <c r="A44" s="183"/>
      <c r="F44" s="587">
        <v>1.8</v>
      </c>
      <c r="G44" s="588">
        <v>4.1176148496961065E-2</v>
      </c>
      <c r="H44" s="591">
        <v>1.7212888109024083</v>
      </c>
      <c r="I44" s="586">
        <v>20.568924446261761</v>
      </c>
      <c r="J44" s="589">
        <v>0.43716252560472407</v>
      </c>
      <c r="K44" s="590">
        <f t="shared" si="1"/>
        <v>159.20852297145728</v>
      </c>
      <c r="L44" s="511">
        <f t="shared" si="0"/>
        <v>69.599999999999994</v>
      </c>
      <c r="M44" s="590">
        <f t="shared" si="2"/>
        <v>54.160394803199992</v>
      </c>
      <c r="N44" s="590">
        <f t="shared" si="3"/>
        <v>18187.848588937835</v>
      </c>
      <c r="O44" s="182"/>
      <c r="P44" s="183"/>
      <c r="Q44" s="183"/>
      <c r="R44" s="183"/>
      <c r="S44" s="183"/>
      <c r="T44" s="183"/>
      <c r="U44" s="183"/>
    </row>
    <row r="45" spans="1:22" s="537" customFormat="1" ht="15" outlineLevel="1" x14ac:dyDescent="0.25">
      <c r="F45" s="587">
        <v>1.9</v>
      </c>
      <c r="G45" s="588">
        <v>3.7562284400153315E-2</v>
      </c>
      <c r="H45" s="591">
        <v>1.8196074057896643</v>
      </c>
      <c r="I45" s="586">
        <v>21.183041868644516</v>
      </c>
      <c r="J45" s="589">
        <v>0.42216511089247888</v>
      </c>
      <c r="K45" s="590">
        <f t="shared" si="1"/>
        <v>188.07807171024697</v>
      </c>
      <c r="L45" s="511">
        <f t="shared" ref="L45:L56" si="4">K45*J45</f>
        <v>79.400000000000006</v>
      </c>
      <c r="M45" s="590">
        <f t="shared" si="2"/>
        <v>61.786427404799994</v>
      </c>
      <c r="N45" s="590">
        <f t="shared" si="3"/>
        <v>18927.744636557331</v>
      </c>
      <c r="O45" s="538"/>
    </row>
    <row r="46" spans="1:22" s="537" customFormat="1" ht="15" outlineLevel="1" x14ac:dyDescent="0.25">
      <c r="F46" s="587">
        <v>2</v>
      </c>
      <c r="G46" s="588">
        <v>3.4167442369818758E-2</v>
      </c>
      <c r="H46" s="591">
        <v>1.9179695653697151</v>
      </c>
      <c r="I46" s="586">
        <v>21.782591832405508</v>
      </c>
      <c r="J46" s="589">
        <v>0.40498099566549561</v>
      </c>
      <c r="K46" s="590">
        <f t="shared" si="1"/>
        <v>220.25724899367134</v>
      </c>
      <c r="L46" s="511">
        <f t="shared" si="4"/>
        <v>89.2</v>
      </c>
      <c r="M46" s="590">
        <f t="shared" si="2"/>
        <v>69.412460006399996</v>
      </c>
      <c r="N46" s="590">
        <f t="shared" si="3"/>
        <v>19342.103103202782</v>
      </c>
      <c r="O46" s="538"/>
    </row>
    <row r="47" spans="1:22" s="537" customFormat="1" ht="15" outlineLevel="1" x14ac:dyDescent="0.25">
      <c r="F47" s="587">
        <v>2.1</v>
      </c>
      <c r="G47" s="588">
        <v>2.5899359360455565E-2</v>
      </c>
      <c r="H47" s="591">
        <v>2.0163722894274434</v>
      </c>
      <c r="I47" s="586">
        <v>22.368623647540968</v>
      </c>
      <c r="J47" s="589">
        <v>0.38292069478352875</v>
      </c>
      <c r="K47" s="590">
        <f t="shared" si="1"/>
        <v>255.92766683817123</v>
      </c>
      <c r="L47" s="511">
        <f t="shared" si="4"/>
        <v>98</v>
      </c>
      <c r="M47" s="590">
        <f t="shared" si="2"/>
        <v>76.260326015999993</v>
      </c>
      <c r="N47" s="590">
        <f t="shared" si="3"/>
        <v>16107.994266087835</v>
      </c>
      <c r="O47" s="538"/>
    </row>
    <row r="48" spans="1:22" s="537" customFormat="1" ht="15" outlineLevel="1" x14ac:dyDescent="0.25">
      <c r="F48" s="587">
        <v>2.2000000000000002</v>
      </c>
      <c r="G48" s="588">
        <v>1.5222033619887202E-2</v>
      </c>
      <c r="H48" s="591">
        <v>2.1148128954430097</v>
      </c>
      <c r="I48" s="586">
        <v>22.942065101184504</v>
      </c>
      <c r="J48" s="589">
        <v>0.34679995350274562</v>
      </c>
      <c r="K48" s="590">
        <f t="shared" si="1"/>
        <v>295.27108918481821</v>
      </c>
      <c r="L48" s="511">
        <f t="shared" si="4"/>
        <v>102.4</v>
      </c>
      <c r="M48" s="590">
        <f t="shared" si="2"/>
        <v>79.684259020799985</v>
      </c>
      <c r="N48" s="590">
        <f t="shared" si="3"/>
        <v>9892.3392667639364</v>
      </c>
      <c r="O48" s="538"/>
    </row>
    <row r="49" spans="1:15" s="537" customFormat="1" ht="15" outlineLevel="1" x14ac:dyDescent="0.25">
      <c r="F49" s="587">
        <v>2.2999999999999998</v>
      </c>
      <c r="G49" s="588">
        <v>9.0894157586376804E-3</v>
      </c>
      <c r="H49" s="591">
        <v>2.2132889750731408</v>
      </c>
      <c r="I49" s="586">
        <v>23.503741375180645</v>
      </c>
      <c r="J49" s="589">
        <v>0.30372019936539468</v>
      </c>
      <c r="K49" s="590">
        <f t="shared" si="1"/>
        <v>338.46942091699691</v>
      </c>
      <c r="L49" s="511">
        <f t="shared" si="4"/>
        <v>102.8</v>
      </c>
      <c r="M49" s="590">
        <f t="shared" si="2"/>
        <v>79.995525657599984</v>
      </c>
      <c r="N49" s="590">
        <f t="shared" si="3"/>
        <v>5930.0103670003791</v>
      </c>
      <c r="O49" s="538"/>
    </row>
    <row r="50" spans="1:15" s="537" customFormat="1" ht="15" outlineLevel="1" x14ac:dyDescent="0.25">
      <c r="F50" s="587">
        <v>2.4</v>
      </c>
      <c r="G50" s="588">
        <v>5.7493292449214261E-3</v>
      </c>
      <c r="H50" s="591">
        <v>2.3117983576628696</v>
      </c>
      <c r="I50" s="586">
        <v>24.054390329394746</v>
      </c>
      <c r="J50" s="589">
        <v>0.26859926908492393</v>
      </c>
      <c r="K50" s="590">
        <f t="shared" si="1"/>
        <v>385.70469812873705</v>
      </c>
      <c r="L50" s="511">
        <f t="shared" si="4"/>
        <v>103.6</v>
      </c>
      <c r="M50" s="590">
        <f t="shared" si="2"/>
        <v>80.618058931199982</v>
      </c>
      <c r="N50" s="590">
        <f t="shared" si="3"/>
        <v>3780.1001343250509</v>
      </c>
      <c r="O50" s="538"/>
    </row>
    <row r="51" spans="1:15" s="537" customFormat="1" ht="15" outlineLevel="1" x14ac:dyDescent="0.25">
      <c r="F51" s="587">
        <v>2.5</v>
      </c>
      <c r="G51" s="588">
        <v>4.8732409790286368E-3</v>
      </c>
      <c r="H51" s="591">
        <v>2.4103390795375828</v>
      </c>
      <c r="I51" s="586">
        <v>24.59467497047309</v>
      </c>
      <c r="J51" s="589">
        <v>0.23515467213552138</v>
      </c>
      <c r="K51" s="590">
        <f t="shared" si="1"/>
        <v>437.15907945369503</v>
      </c>
      <c r="L51" s="511">
        <f t="shared" si="4"/>
        <v>102.8</v>
      </c>
      <c r="M51" s="590">
        <f t="shared" si="2"/>
        <v>79.995525657599984</v>
      </c>
      <c r="N51" s="590">
        <f t="shared" si="3"/>
        <v>3179.3429076086372</v>
      </c>
      <c r="O51" s="538"/>
    </row>
    <row r="52" spans="1:15" s="537" customFormat="1" ht="15" outlineLevel="1" x14ac:dyDescent="0.25">
      <c r="F52" s="587">
        <v>2.6</v>
      </c>
      <c r="G52" s="588">
        <v>4.65421891255544E-3</v>
      </c>
      <c r="H52" s="591">
        <v>2.5089093580516719</v>
      </c>
      <c r="I52" s="586">
        <v>25.125193715634442</v>
      </c>
      <c r="J52" s="589">
        <v>0.2068903247448993</v>
      </c>
      <c r="K52" s="590">
        <f t="shared" si="1"/>
        <v>493.01483830028513</v>
      </c>
      <c r="L52" s="511">
        <f t="shared" si="4"/>
        <v>102</v>
      </c>
      <c r="M52" s="590">
        <f t="shared" si="2"/>
        <v>79.372992383999986</v>
      </c>
      <c r="N52" s="590">
        <f t="shared" si="3"/>
        <v>3012.8211219523992</v>
      </c>
      <c r="O52" s="538"/>
    </row>
    <row r="53" spans="1:15" s="537" customFormat="1" ht="15" outlineLevel="1" x14ac:dyDescent="0.25">
      <c r="F53" s="587">
        <v>2.7</v>
      </c>
      <c r="G53" s="588">
        <v>3.0115534140064612E-3</v>
      </c>
      <c r="H53" s="591">
        <v>2.6075075695608594</v>
      </c>
      <c r="I53" s="586">
        <v>25.64648891078809</v>
      </c>
      <c r="J53" s="589">
        <v>0.18357430729945429</v>
      </c>
      <c r="K53" s="590">
        <f t="shared" si="1"/>
        <v>553.4543558661818</v>
      </c>
      <c r="L53" s="511">
        <f>K53*J53</f>
        <v>101.6</v>
      </c>
      <c r="M53" s="590">
        <f t="shared" si="2"/>
        <v>79.061725747199986</v>
      </c>
      <c r="N53" s="590">
        <f t="shared" si="3"/>
        <v>1941.8275005155717</v>
      </c>
      <c r="O53" s="538"/>
    </row>
    <row r="54" spans="1:15" s="537" customFormat="1" ht="15" outlineLevel="1" x14ac:dyDescent="0.25">
      <c r="F54" s="587">
        <v>2.8</v>
      </c>
      <c r="G54" s="588">
        <v>0</v>
      </c>
      <c r="H54" s="591">
        <v>2.7061322306419484</v>
      </c>
      <c r="I54" s="586">
        <v>26.159053953210904</v>
      </c>
      <c r="J54" s="589">
        <v>0</v>
      </c>
      <c r="K54" s="590">
        <f t="shared" si="1"/>
        <v>0</v>
      </c>
      <c r="L54" s="511">
        <f>K54*J54</f>
        <v>0</v>
      </c>
      <c r="M54" s="590">
        <f t="shared" si="2"/>
        <v>0</v>
      </c>
      <c r="N54" s="590">
        <f t="shared" si="3"/>
        <v>0</v>
      </c>
      <c r="O54" s="538"/>
    </row>
    <row r="55" spans="1:15" s="537" customFormat="1" ht="15" outlineLevel="1" x14ac:dyDescent="0.25">
      <c r="F55" s="587">
        <v>2.9</v>
      </c>
      <c r="G55" s="588">
        <v>0</v>
      </c>
      <c r="H55" s="591">
        <v>2.8047819820107152</v>
      </c>
      <c r="I55" s="586">
        <v>26.663339288806341</v>
      </c>
      <c r="J55" s="589">
        <v>0</v>
      </c>
      <c r="K55" s="590">
        <f t="shared" si="1"/>
        <v>0</v>
      </c>
      <c r="L55" s="511">
        <f t="shared" si="4"/>
        <v>0</v>
      </c>
      <c r="M55" s="590">
        <f t="shared" si="2"/>
        <v>0</v>
      </c>
      <c r="N55" s="590">
        <f t="shared" si="3"/>
        <v>0</v>
      </c>
      <c r="O55" s="538"/>
    </row>
    <row r="56" spans="1:15" s="537" customFormat="1" ht="15" outlineLevel="1" x14ac:dyDescent="0.25">
      <c r="F56" s="587">
        <v>3</v>
      </c>
      <c r="G56" s="588">
        <v>0</v>
      </c>
      <c r="H56" s="591">
        <v>2.9034555746908737</v>
      </c>
      <c r="I56" s="586">
        <v>27.159757494249579</v>
      </c>
      <c r="J56" s="589">
        <v>0</v>
      </c>
      <c r="K56" s="590">
        <f t="shared" si="1"/>
        <v>0</v>
      </c>
      <c r="L56" s="511">
        <f t="shared" si="4"/>
        <v>0</v>
      </c>
      <c r="M56" s="590">
        <f t="shared" si="2"/>
        <v>0</v>
      </c>
      <c r="N56" s="590">
        <f t="shared" si="3"/>
        <v>0</v>
      </c>
      <c r="O56" s="538"/>
    </row>
    <row r="57" spans="1:15" s="477" customFormat="1" ht="12.75" outlineLevel="1" x14ac:dyDescent="0.2">
      <c r="F57" s="478"/>
      <c r="G57" s="478"/>
      <c r="H57" s="478"/>
      <c r="I57" s="564"/>
      <c r="J57" s="480"/>
      <c r="K57" s="423"/>
      <c r="L57" s="423"/>
      <c r="M57" s="423"/>
      <c r="N57" s="423"/>
      <c r="O57" s="476"/>
    </row>
    <row r="58" spans="1:15" ht="12.75" outlineLevel="1" x14ac:dyDescent="0.2">
      <c r="B58" s="146"/>
      <c r="C58" s="156"/>
      <c r="D58" s="157"/>
      <c r="E58" s="155"/>
      <c r="F58" s="155"/>
      <c r="G58" s="155"/>
      <c r="H58" s="423"/>
      <c r="I58" s="565"/>
      <c r="J58" s="155"/>
      <c r="K58" s="225"/>
      <c r="L58" s="225"/>
    </row>
    <row r="59" spans="1:15" x14ac:dyDescent="0.25">
      <c r="A59" s="132" t="s">
        <v>226</v>
      </c>
      <c r="J59" s="149"/>
      <c r="K59" s="149"/>
      <c r="L59" s="149"/>
      <c r="N59" s="149"/>
    </row>
    <row r="60" spans="1:15" outlineLevel="1" x14ac:dyDescent="0.25">
      <c r="B60" s="145" t="s">
        <v>233</v>
      </c>
      <c r="G60" s="479">
        <v>20</v>
      </c>
      <c r="H60" s="422"/>
      <c r="I60" s="558"/>
    </row>
    <row r="61" spans="1:15" outlineLevel="1" x14ac:dyDescent="0.25">
      <c r="B61" s="150" t="s">
        <v>232</v>
      </c>
      <c r="G61" s="142">
        <v>0.4</v>
      </c>
      <c r="H61" s="445"/>
      <c r="I61" s="563"/>
    </row>
    <row r="62" spans="1:15" outlineLevel="1" x14ac:dyDescent="0.25">
      <c r="B62" s="150" t="s">
        <v>227</v>
      </c>
      <c r="G62" s="142">
        <v>0</v>
      </c>
      <c r="H62" s="445"/>
      <c r="I62" s="563"/>
    </row>
    <row r="63" spans="1:15" outlineLevel="1" x14ac:dyDescent="0.25">
      <c r="B63" s="150" t="s">
        <v>197</v>
      </c>
      <c r="G63" s="148">
        <f>G61+G62*(1-G61)</f>
        <v>0.4</v>
      </c>
      <c r="H63" s="399"/>
      <c r="I63" s="564"/>
    </row>
    <row r="64" spans="1:15" outlineLevel="1" x14ac:dyDescent="0.25">
      <c r="B64" s="150" t="s">
        <v>196</v>
      </c>
      <c r="G64" s="142">
        <v>0.08</v>
      </c>
      <c r="H64" s="445"/>
      <c r="I64" s="563"/>
    </row>
    <row r="65" spans="2:12" outlineLevel="1" x14ac:dyDescent="0.25">
      <c r="B65" s="150" t="s">
        <v>243</v>
      </c>
      <c r="G65" s="142">
        <v>0.5</v>
      </c>
      <c r="H65" s="445"/>
      <c r="I65" s="563"/>
    </row>
    <row r="66" spans="2:12" outlineLevel="1" x14ac:dyDescent="0.25">
      <c r="B66" s="150" t="s">
        <v>244</v>
      </c>
      <c r="G66" s="142">
        <v>0.5</v>
      </c>
      <c r="H66" s="445"/>
      <c r="I66" s="563"/>
    </row>
    <row r="67" spans="2:12" outlineLevel="1" x14ac:dyDescent="0.25">
      <c r="B67" s="150" t="s">
        <v>229</v>
      </c>
      <c r="G67" s="142">
        <v>0.5</v>
      </c>
      <c r="H67" s="445"/>
      <c r="I67" s="563"/>
    </row>
    <row r="68" spans="2:12" outlineLevel="1" x14ac:dyDescent="0.25">
      <c r="B68" s="150" t="s">
        <v>228</v>
      </c>
      <c r="G68" s="142">
        <v>9.7000000000000003E-2</v>
      </c>
      <c r="H68" s="445"/>
      <c r="I68" s="563"/>
    </row>
    <row r="69" spans="2:12" outlineLevel="1" x14ac:dyDescent="0.25">
      <c r="B69" s="150" t="s">
        <v>230</v>
      </c>
      <c r="G69" s="142">
        <v>0.5</v>
      </c>
      <c r="H69" s="445"/>
      <c r="I69" s="563"/>
    </row>
    <row r="70" spans="2:12" outlineLevel="1" x14ac:dyDescent="0.25">
      <c r="B70" s="150" t="s">
        <v>231</v>
      </c>
      <c r="G70" s="142">
        <v>0.08</v>
      </c>
      <c r="H70" s="445"/>
      <c r="I70" s="563"/>
    </row>
    <row r="71" spans="2:12" outlineLevel="1" x14ac:dyDescent="0.25">
      <c r="B71" s="150" t="s">
        <v>242</v>
      </c>
      <c r="G71" s="151">
        <f>IF(G63&gt;0,G69*G70*(1-G63)+(1-G69)*G68,G69*G70+(1-G69)*G68)</f>
        <v>7.2500000000000009E-2</v>
      </c>
      <c r="H71" s="447"/>
      <c r="I71" s="562"/>
    </row>
    <row r="72" spans="2:12" outlineLevel="1" x14ac:dyDescent="0.25">
      <c r="B72" s="150" t="s">
        <v>195</v>
      </c>
      <c r="F72" s="129" t="s">
        <v>234</v>
      </c>
      <c r="G72" s="152">
        <v>0.2</v>
      </c>
      <c r="H72" s="444"/>
      <c r="I72" s="444"/>
    </row>
    <row r="73" spans="2:12" outlineLevel="1" x14ac:dyDescent="0.25">
      <c r="B73" s="132"/>
      <c r="F73" s="129" t="s">
        <v>235</v>
      </c>
      <c r="G73" s="153">
        <v>0.32</v>
      </c>
      <c r="H73" s="402"/>
      <c r="I73" s="402"/>
    </row>
    <row r="74" spans="2:12" outlineLevel="1" x14ac:dyDescent="0.25">
      <c r="F74" s="129" t="s">
        <v>236</v>
      </c>
      <c r="G74" s="153">
        <v>0.192</v>
      </c>
      <c r="H74" s="402"/>
      <c r="I74" s="402"/>
    </row>
    <row r="75" spans="2:12" outlineLevel="1" x14ac:dyDescent="0.25">
      <c r="F75" s="129" t="s">
        <v>237</v>
      </c>
      <c r="G75" s="153">
        <v>0.1152</v>
      </c>
      <c r="H75" s="402"/>
      <c r="I75" s="402"/>
    </row>
    <row r="76" spans="2:12" outlineLevel="1" x14ac:dyDescent="0.25">
      <c r="F76" s="129" t="s">
        <v>238</v>
      </c>
      <c r="G76" s="153">
        <v>0.1152</v>
      </c>
      <c r="H76" s="402"/>
      <c r="I76" s="402"/>
    </row>
    <row r="77" spans="2:12" outlineLevel="1" x14ac:dyDescent="0.25">
      <c r="F77" s="129" t="s">
        <v>239</v>
      </c>
      <c r="G77" s="153">
        <v>5.7599999999999998E-2</v>
      </c>
      <c r="H77" s="402"/>
      <c r="I77" s="402"/>
      <c r="J77" s="147"/>
      <c r="K77" s="147"/>
      <c r="L77" s="147"/>
    </row>
    <row r="78" spans="2:12" outlineLevel="1" x14ac:dyDescent="0.25">
      <c r="B78" s="129" t="s">
        <v>245</v>
      </c>
      <c r="G78" s="143">
        <f>1+(1-G63)*((1+G64)^(0.5)-1)</f>
        <v>1.0235382907247959</v>
      </c>
      <c r="H78" s="129" t="s">
        <v>248</v>
      </c>
    </row>
    <row r="79" spans="2:12" outlineLevel="1" x14ac:dyDescent="0.25">
      <c r="B79" s="129" t="s">
        <v>246</v>
      </c>
      <c r="G79" s="143">
        <f>1+(1-G63)*((1+G64)^(1+0.5)-1)</f>
        <v>1.0734213539827795</v>
      </c>
      <c r="H79" s="129" t="s">
        <v>248</v>
      </c>
    </row>
    <row r="80" spans="2:12" outlineLevel="1" x14ac:dyDescent="0.25">
      <c r="B80" s="129" t="s">
        <v>241</v>
      </c>
      <c r="G80" s="159">
        <f>SUMPRODUCT(G65:G66,G78:G79)</f>
        <v>1.0484798223537877</v>
      </c>
      <c r="H80" s="129"/>
    </row>
    <row r="81" spans="2:12" outlineLevel="1" x14ac:dyDescent="0.25">
      <c r="B81" s="129" t="s">
        <v>249</v>
      </c>
      <c r="G81" s="144">
        <f>-PMT(G71,G60,1)</f>
        <v>9.6234840220136078E-2</v>
      </c>
      <c r="H81" s="129"/>
    </row>
    <row r="82" spans="2:12" outlineLevel="1" x14ac:dyDescent="0.25">
      <c r="B82" s="129" t="s">
        <v>240</v>
      </c>
      <c r="G82" s="154">
        <f>NPV(G71,G72:G77)</f>
        <v>0.82641453990921676</v>
      </c>
      <c r="H82" s="129"/>
    </row>
    <row r="83" spans="2:12" outlineLevel="1" x14ac:dyDescent="0.25">
      <c r="B83" s="129" t="s">
        <v>250</v>
      </c>
      <c r="G83" s="147">
        <f>G80*G81*(1-G63*G82)/(1-G63)</f>
        <v>0.11257683680939656</v>
      </c>
      <c r="H83" s="158" t="s">
        <v>247</v>
      </c>
      <c r="I83" s="158"/>
      <c r="K83" s="158"/>
      <c r="L83" s="158"/>
    </row>
  </sheetData>
  <dataConsolidate/>
  <pageMargins left="0.75" right="0.75" top="1" bottom="1" header="0.5" footer="0.5"/>
  <pageSetup scale="92" orientation="portrait" horizontalDpi="300" verticalDpi="300" r:id="rId1"/>
  <headerFooter alignWithMargins="0"/>
  <colBreaks count="2" manualBreakCount="2">
    <brk id="13" max="1048575" man="1"/>
    <brk id="21" max="1048575" man="1"/>
  </colBreaks>
  <drawing r:id="rId2"/>
  <legacyDrawing r:id="rId3"/>
  <controls>
    <mc:AlternateContent xmlns:mc="http://schemas.openxmlformats.org/markup-compatibility/2006">
      <mc:Choice Requires="x14">
        <control shapeId="29697" r:id="rId4" name="CommandButton1">
          <controlPr locked="0" defaultSize="0" autoLine="0" autoPict="0" r:id="rId5">
            <anchor moveWithCells="1" sizeWithCells="1">
              <from>
                <xdr:col>1</xdr:col>
                <xdr:colOff>38100</xdr:colOff>
                <xdr:row>22</xdr:row>
                <xdr:rowOff>0</xdr:rowOff>
              </from>
              <to>
                <xdr:col>9</xdr:col>
                <xdr:colOff>495300</xdr:colOff>
                <xdr:row>22</xdr:row>
                <xdr:rowOff>0</xdr:rowOff>
              </to>
            </anchor>
          </controlPr>
        </control>
      </mc:Choice>
      <mc:Fallback>
        <control shapeId="29697" r:id="rId4" name="CommandButton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zoomScale="70" zoomScaleNormal="70" workbookViewId="0">
      <pane xSplit="8" ySplit="4" topLeftCell="I5" activePane="bottomRight" state="frozen"/>
      <selection activeCell="A3" sqref="A3"/>
      <selection pane="topRight" activeCell="I3" sqref="I3"/>
      <selection pane="bottomLeft" activeCell="A5" sqref="A5"/>
      <selection pane="bottomRight" activeCell="Q70" sqref="Q70"/>
    </sheetView>
  </sheetViews>
  <sheetFormatPr defaultColWidth="9.109375" defaultRowHeight="14.4" outlineLevelRow="2" x14ac:dyDescent="0.3"/>
  <cols>
    <col min="1" max="1" width="8.44140625" style="39" customWidth="1"/>
    <col min="2" max="2" width="3.88671875" style="72" customWidth="1"/>
    <col min="3" max="4" width="4.109375" style="72" customWidth="1"/>
    <col min="5" max="7" width="9.109375" style="72"/>
    <col min="8" max="9" width="20.33203125" style="72" customWidth="1"/>
    <col min="10" max="10" width="19.5546875" style="72" bestFit="1" customWidth="1"/>
    <col min="11" max="11" width="10.109375" style="61" customWidth="1"/>
    <col min="12" max="12" width="20.44140625" style="72" bestFit="1" customWidth="1"/>
    <col min="13" max="13" width="10.109375" style="61" customWidth="1"/>
    <col min="14" max="14" width="22.6640625" style="72" bestFit="1" customWidth="1"/>
    <col min="15" max="15" width="11.5546875" style="61" customWidth="1"/>
    <col min="16" max="16" width="20.88671875" style="72" customWidth="1"/>
    <col min="17" max="17" width="11" style="72" customWidth="1"/>
    <col min="18" max="18" width="17.109375" style="72" bestFit="1" customWidth="1"/>
    <col min="19" max="19" width="16.88671875" style="72" bestFit="1" customWidth="1"/>
    <col min="20" max="22" width="13.33203125" style="72" bestFit="1" customWidth="1"/>
    <col min="23" max="16384" width="9.109375" style="72"/>
  </cols>
  <sheetData>
    <row r="1" spans="1:19" ht="21.75" customHeight="1" x14ac:dyDescent="0.25">
      <c r="A1" s="39" t="s">
        <v>252</v>
      </c>
      <c r="J1" s="593">
        <f>J4*'Performance &amp; Economics'!$S$15</f>
        <v>89.51</v>
      </c>
      <c r="K1" s="593"/>
      <c r="L1" s="593">
        <f>L4*'Performance &amp; Economics'!$S$15</f>
        <v>895.1</v>
      </c>
      <c r="M1" s="593"/>
      <c r="N1" s="593">
        <f>N4*'Performance &amp; Economics'!$S$15</f>
        <v>4475.5</v>
      </c>
      <c r="O1" s="593"/>
      <c r="P1" s="593">
        <f>P4*'Performance &amp; Economics'!$S$15</f>
        <v>8951</v>
      </c>
    </row>
    <row r="2" spans="1:19" ht="27" customHeight="1" x14ac:dyDescent="0.25">
      <c r="A2" s="39" t="s">
        <v>253</v>
      </c>
      <c r="J2" s="58">
        <f>'Performance &amp; Economics'!$S$17</f>
        <v>204.38568441852883</v>
      </c>
      <c r="K2" s="174"/>
      <c r="L2" s="58">
        <f>J2*L4</f>
        <v>2043.8568441852883</v>
      </c>
      <c r="M2" s="174"/>
      <c r="N2" s="58">
        <f>J2*N4</f>
        <v>10219.284220926442</v>
      </c>
      <c r="O2" s="174"/>
      <c r="P2" s="58">
        <f>J2*P4</f>
        <v>20438.568441852884</v>
      </c>
    </row>
    <row r="3" spans="1:19" ht="22.5" customHeight="1" x14ac:dyDescent="0.25">
      <c r="A3" s="3" t="s">
        <v>360</v>
      </c>
      <c r="I3" s="60"/>
      <c r="J3" s="676" t="s">
        <v>68</v>
      </c>
      <c r="K3" s="676"/>
      <c r="L3" s="676"/>
      <c r="M3" s="676"/>
      <c r="N3" s="676"/>
      <c r="O3" s="676"/>
      <c r="P3" s="676"/>
      <c r="Q3" s="60"/>
    </row>
    <row r="4" spans="1:19" ht="24.75" customHeight="1" x14ac:dyDescent="0.25">
      <c r="I4" s="60" t="s">
        <v>118</v>
      </c>
      <c r="J4" s="60">
        <v>1</v>
      </c>
      <c r="K4" s="104" t="s">
        <v>165</v>
      </c>
      <c r="L4" s="60">
        <v>10</v>
      </c>
      <c r="M4" s="104" t="s">
        <v>165</v>
      </c>
      <c r="N4" s="60">
        <v>50</v>
      </c>
      <c r="O4" s="104" t="s">
        <v>166</v>
      </c>
      <c r="P4" s="60">
        <v>100</v>
      </c>
      <c r="Q4" s="104" t="s">
        <v>166</v>
      </c>
      <c r="R4" s="60"/>
      <c r="S4" s="73"/>
    </row>
    <row r="5" spans="1:19" s="60" customFormat="1" ht="15" x14ac:dyDescent="0.25">
      <c r="A5" s="73">
        <v>1</v>
      </c>
      <c r="B5" s="60" t="s">
        <v>0</v>
      </c>
      <c r="J5" s="95"/>
      <c r="K5" s="95"/>
      <c r="L5" s="95"/>
      <c r="M5" s="95"/>
      <c r="N5" s="95"/>
      <c r="O5" s="95"/>
      <c r="P5" s="95"/>
    </row>
    <row r="6" spans="1:19" s="60" customFormat="1" ht="15" x14ac:dyDescent="0.25">
      <c r="A6" s="73">
        <v>1.1000000000000001</v>
      </c>
      <c r="C6" s="60" t="s">
        <v>107</v>
      </c>
      <c r="J6" s="175">
        <f>('CBS (Total)'!J4*'Performance &amp; Economics'!$G$83)/'CBS (CoE)'!J$2/10</f>
        <v>51.884727785221131</v>
      </c>
      <c r="K6" s="93">
        <f t="shared" ref="K6:K37" si="0">J6/$J$57</f>
        <v>0.29546173244565294</v>
      </c>
      <c r="L6" s="175">
        <f>('CBS (Total)'!L4*'Performance &amp; Economics'!$G$83)/'CBS (CoE)'!L$2/10</f>
        <v>11.007116419310588</v>
      </c>
      <c r="M6" s="93">
        <f t="shared" ref="M6:M37" si="1">L6/$L$57</f>
        <v>0.19906893468203254</v>
      </c>
      <c r="N6" s="175">
        <f>('CBS (Total)'!N4*'Performance &amp; Economics'!$G$83)/'CBS (CoE)'!N$2/10</f>
        <v>2.6810225669279513</v>
      </c>
      <c r="O6" s="93">
        <f t="shared" ref="O6:O37" si="2">N6/$N$57</f>
        <v>8.3240131187254984E-2</v>
      </c>
      <c r="P6" s="175">
        <f>('CBS (Total)'!P4*'Performance &amp; Economics'!$G$83)/'CBS (CoE)'!P$2/10</f>
        <v>1.4253360256407857</v>
      </c>
      <c r="Q6" s="99">
        <f t="shared" ref="Q6:Q37" si="3">P6/$P$57</f>
        <v>5.149199918268739E-2</v>
      </c>
      <c r="R6" s="126"/>
      <c r="S6" s="126"/>
    </row>
    <row r="7" spans="1:19" s="61" customFormat="1" ht="15" hidden="1" outlineLevel="1" x14ac:dyDescent="0.25">
      <c r="A7" s="85" t="s">
        <v>2</v>
      </c>
      <c r="D7" s="61" t="s">
        <v>1</v>
      </c>
      <c r="I7" s="81"/>
      <c r="J7" s="176">
        <f>('CBS (Total)'!J5*'Performance &amp; Economics'!$G$83)/'CBS (CoE)'!J$2/10</f>
        <v>33.599158693086224</v>
      </c>
      <c r="K7" s="97">
        <f t="shared" si="0"/>
        <v>0.19133309665360454</v>
      </c>
      <c r="L7" s="176">
        <f>('CBS (Total)'!L5*'Performance &amp; Economics'!$G$83)/'CBS (CoE)'!L$2/10</f>
        <v>7.9233425868859886</v>
      </c>
      <c r="M7" s="97">
        <f t="shared" si="1"/>
        <v>0.14329741848873481</v>
      </c>
      <c r="N7" s="176">
        <f>('CBS (Total)'!N5*'Performance &amp; Economics'!$G$83)/'CBS (CoE)'!N$2/10</f>
        <v>1.7829586342544281</v>
      </c>
      <c r="O7" s="97">
        <f t="shared" si="2"/>
        <v>5.5357128450749069E-2</v>
      </c>
      <c r="P7" s="176">
        <f>('CBS (Total)'!P5*'Performance &amp; Economics'!$G$83)/'CBS (CoE)'!P$2/10</f>
        <v>0.89147931712721407</v>
      </c>
      <c r="Q7" s="98">
        <f t="shared" si="3"/>
        <v>3.2205775650875179E-2</v>
      </c>
      <c r="R7" s="96"/>
      <c r="S7" s="96"/>
    </row>
    <row r="8" spans="1:19" s="61" customFormat="1" ht="15" hidden="1" outlineLevel="2" x14ac:dyDescent="0.25">
      <c r="A8" s="85" t="s">
        <v>108</v>
      </c>
      <c r="E8" s="61" t="s">
        <v>3</v>
      </c>
      <c r="I8" s="81"/>
      <c r="J8" s="176">
        <f>('CBS (Total)'!J6*'Performance &amp; Economics'!$G$83)/'CBS (CoE)'!J$2/10</f>
        <v>5.232655862038019</v>
      </c>
      <c r="K8" s="97">
        <f t="shared" si="0"/>
        <v>2.9797777347692515E-2</v>
      </c>
      <c r="L8" s="176">
        <f>('CBS (Total)'!L6*'Performance &amp; Economics'!$G$83)/'CBS (CoE)'!L$2/10</f>
        <v>0.94187805516684331</v>
      </c>
      <c r="M8" s="97">
        <f t="shared" si="1"/>
        <v>1.703431252108005E-2</v>
      </c>
      <c r="N8" s="176">
        <f>('CBS (Total)'!N6*'Performance &amp; Economics'!$G$83)/'CBS (CoE)'!N$2/10</f>
        <v>0.19939172863765922</v>
      </c>
      <c r="O8" s="97">
        <f t="shared" si="2"/>
        <v>6.1906952422524433E-3</v>
      </c>
      <c r="P8" s="176">
        <f>('CBS (Total)'!P6*'Performance &amp; Economics'!$G$83)/'CBS (CoE)'!P$2/10</f>
        <v>9.9695864318829611E-2</v>
      </c>
      <c r="Q8" s="98">
        <f t="shared" si="3"/>
        <v>3.6016344719236376E-3</v>
      </c>
    </row>
    <row r="9" spans="1:19" s="61" customFormat="1" ht="15" hidden="1" outlineLevel="2" x14ac:dyDescent="0.25">
      <c r="A9" s="85" t="s">
        <v>109</v>
      </c>
      <c r="E9" s="61" t="s">
        <v>5</v>
      </c>
      <c r="I9" s="81"/>
      <c r="J9" s="176">
        <f>('CBS (Total)'!J7*'Performance &amp; Economics'!$G$83)/'CBS (CoE)'!J$2/10</f>
        <v>15.97337052622132</v>
      </c>
      <c r="K9" s="97">
        <f t="shared" si="0"/>
        <v>9.0961636114008718E-2</v>
      </c>
      <c r="L9" s="176">
        <f>('CBS (Total)'!L7*'Performance &amp; Economics'!$G$83)/'CBS (CoE)'!L$2/10</f>
        <v>4.172354542625051</v>
      </c>
      <c r="M9" s="97">
        <f t="shared" si="1"/>
        <v>7.5459015992503722E-2</v>
      </c>
      <c r="N9" s="176">
        <f>('CBS (Total)'!N7*'Performance &amp; Economics'!$G$83)/'CBS (CoE)'!N$2/10</f>
        <v>1.0217449077979499</v>
      </c>
      <c r="O9" s="97">
        <f t="shared" si="2"/>
        <v>3.1723037774525641E-2</v>
      </c>
      <c r="P9" s="176">
        <f>('CBS (Total)'!P7*'Performance &amp; Economics'!$G$83)/'CBS (CoE)'!P$2/10</f>
        <v>0.51087245389897495</v>
      </c>
      <c r="Q9" s="98">
        <f t="shared" si="3"/>
        <v>1.8455889351984386E-2</v>
      </c>
      <c r="R9" s="96"/>
    </row>
    <row r="10" spans="1:19" s="61" customFormat="1" ht="15" hidden="1" outlineLevel="2" x14ac:dyDescent="0.25">
      <c r="A10" s="85" t="s">
        <v>110</v>
      </c>
      <c r="E10" s="61" t="s">
        <v>7</v>
      </c>
      <c r="I10" s="81"/>
      <c r="J10" s="176">
        <f>('CBS (Total)'!J8*'Performance &amp; Economics'!$G$83)/'CBS (CoE)'!J$2/10</f>
        <v>7.0227749727352364</v>
      </c>
      <c r="K10" s="97">
        <f t="shared" si="0"/>
        <v>3.9991753808745222E-2</v>
      </c>
      <c r="L10" s="176">
        <f>('CBS (Total)'!L8*'Performance &amp; Economics'!$G$83)/'CBS (CoE)'!L$2/10</f>
        <v>1.6661877876489477</v>
      </c>
      <c r="M10" s="97">
        <f t="shared" si="1"/>
        <v>3.0133798465653304E-2</v>
      </c>
      <c r="N10" s="176">
        <f>('CBS (Total)'!N8*'Performance &amp; Economics'!$G$83)/'CBS (CoE)'!N$2/10</f>
        <v>0.33323755752978956</v>
      </c>
      <c r="O10" s="97">
        <f t="shared" si="2"/>
        <v>1.034632768387494E-2</v>
      </c>
      <c r="P10" s="176">
        <f>('CBS (Total)'!P8*'Performance &amp; Economics'!$G$83)/'CBS (CoE)'!P$2/10</f>
        <v>0.16661877876489478</v>
      </c>
      <c r="Q10" s="98">
        <f t="shared" si="3"/>
        <v>6.0193062307011061E-3</v>
      </c>
    </row>
    <row r="11" spans="1:19" s="61" customFormat="1" ht="15" hidden="1" outlineLevel="2" x14ac:dyDescent="0.25">
      <c r="A11" s="85" t="s">
        <v>111</v>
      </c>
      <c r="E11" s="61" t="s">
        <v>8</v>
      </c>
      <c r="I11" s="81"/>
      <c r="J11" s="176">
        <f>('CBS (Total)'!J9*'Performance &amp; Economics'!$G$83)/'CBS (CoE)'!J$2/10</f>
        <v>5.3703573320916513</v>
      </c>
      <c r="K11" s="97">
        <f t="shared" si="0"/>
        <v>3.0581929383158107E-2</v>
      </c>
      <c r="L11" s="176">
        <f>('CBS (Total)'!L9*'Performance &amp; Economics'!$G$83)/'CBS (CoE)'!L$2/10</f>
        <v>1.1429222014451459</v>
      </c>
      <c r="M11" s="97">
        <f t="shared" si="1"/>
        <v>2.0670291509497719E-2</v>
      </c>
      <c r="N11" s="176">
        <f>('CBS (Total)'!N9*'Performance &amp; Economics'!$G$83)/'CBS (CoE)'!N$2/10</f>
        <v>0.22858444028902922</v>
      </c>
      <c r="O11" s="97">
        <f t="shared" si="2"/>
        <v>7.0970677500960333E-3</v>
      </c>
      <c r="P11" s="176">
        <f>('CBS (Total)'!P9*'Performance &amp; Economics'!$G$83)/'CBS (CoE)'!P$2/10</f>
        <v>0.11429222014451461</v>
      </c>
      <c r="Q11" s="98">
        <f t="shared" si="3"/>
        <v>4.1289455962660489E-3</v>
      </c>
    </row>
    <row r="12" spans="1:19" s="61" customFormat="1" ht="15" hidden="1" outlineLevel="1" collapsed="1" x14ac:dyDescent="0.25">
      <c r="A12" s="85" t="s">
        <v>4</v>
      </c>
      <c r="D12" s="61" t="s">
        <v>112</v>
      </c>
      <c r="I12" s="81"/>
      <c r="J12" s="176">
        <f>('CBS (Total)'!J10*'Performance &amp; Economics'!$G$83)/'CBS (CoE)'!J$2/10</f>
        <v>10.683596094405054</v>
      </c>
      <c r="K12" s="97">
        <f t="shared" si="0"/>
        <v>6.083859250200508E-2</v>
      </c>
      <c r="L12" s="176">
        <f>('CBS (Total)'!L10*'Performance &amp; Economics'!$G$83)/'CBS (CoE)'!L$2/10</f>
        <v>1.6197052794176436</v>
      </c>
      <c r="M12" s="97">
        <f t="shared" si="1"/>
        <v>2.9293140200358597E-2</v>
      </c>
      <c r="N12" s="176">
        <f>('CBS (Total)'!N10*'Performance &amp; Economics'!$G$83)/'CBS (CoE)'!N$2/10</f>
        <v>0.32394105588352873</v>
      </c>
      <c r="O12" s="97">
        <f t="shared" si="2"/>
        <v>1.0057690793546936E-2</v>
      </c>
      <c r="P12" s="176">
        <f>('CBS (Total)'!P10*'Performance &amp; Economics'!$G$83)/'CBS (CoE)'!P$2/10</f>
        <v>0.16197052794176436</v>
      </c>
      <c r="Q12" s="98">
        <f t="shared" si="3"/>
        <v>5.8513825107642907E-3</v>
      </c>
    </row>
    <row r="13" spans="1:19" s="61" customFormat="1" ht="15" hidden="1" outlineLevel="1" x14ac:dyDescent="0.25">
      <c r="A13" s="85" t="s">
        <v>6</v>
      </c>
      <c r="D13" s="61" t="s">
        <v>191</v>
      </c>
      <c r="I13" s="81"/>
      <c r="J13" s="176">
        <f>('CBS (Total)'!J11*'Performance &amp; Economics'!$G$83)/'CBS (CoE)'!J$2/10</f>
        <v>7.601972997729848</v>
      </c>
      <c r="K13" s="97">
        <f t="shared" si="0"/>
        <v>4.3290043290043288E-2</v>
      </c>
      <c r="L13" s="176">
        <f>('CBS (Total)'!L11*'Performance &amp; Economics'!$G$83)/'CBS (CoE)'!L$2/10</f>
        <v>1.4640685530069542</v>
      </c>
      <c r="M13" s="97">
        <f t="shared" si="1"/>
        <v>2.6478375992939101E-2</v>
      </c>
      <c r="N13" s="176">
        <f>('CBS (Total)'!N11*'Performance &amp; Economics'!$G$83)/'CBS (CoE)'!N$2/10</f>
        <v>0.57412287678999474</v>
      </c>
      <c r="O13" s="97">
        <f t="shared" si="2"/>
        <v>1.7825311942958996E-2</v>
      </c>
      <c r="P13" s="176">
        <f>('CBS (Total)'!P11*'Performance &amp; Economics'!$G$83)/'CBS (CoE)'!P$2/10</f>
        <v>0.37188618057180728</v>
      </c>
      <c r="Q13" s="98">
        <f t="shared" si="3"/>
        <v>1.343484102104792E-2</v>
      </c>
    </row>
    <row r="14" spans="1:19" s="60" customFormat="1" ht="15" collapsed="1" x14ac:dyDescent="0.25">
      <c r="A14" s="73">
        <v>1.2</v>
      </c>
      <c r="C14" s="60" t="s">
        <v>10</v>
      </c>
      <c r="I14" s="84"/>
      <c r="J14" s="175">
        <f>('CBS (Total)'!J12*'Performance &amp; Economics'!$G$83)/'CBS (CoE)'!J$2/10</f>
        <v>8.1254883449247206</v>
      </c>
      <c r="K14" s="93">
        <f t="shared" si="0"/>
        <v>4.6271243308753672E-2</v>
      </c>
      <c r="L14" s="175">
        <f>('CBS (Total)'!L12*'Performance &amp; Economics'!$G$83)/'CBS (CoE)'!L$2/10</f>
        <v>1.2051632659093878</v>
      </c>
      <c r="M14" s="93">
        <f t="shared" si="1"/>
        <v>2.1795950757966757E-2</v>
      </c>
      <c r="N14" s="175">
        <f>('CBS (Total)'!N12*'Performance &amp; Economics'!$G$83)/'CBS (CoE)'!N$2/10</f>
        <v>0.79615685149728765</v>
      </c>
      <c r="O14" s="93">
        <f t="shared" si="2"/>
        <v>2.471900146674412E-2</v>
      </c>
      <c r="P14" s="175">
        <f>('CBS (Total)'!P12*'Performance &amp; Economics'!$G$83)/'CBS (CoE)'!P$2/10</f>
        <v>0.7699825560694934</v>
      </c>
      <c r="Q14" s="99">
        <f t="shared" si="3"/>
        <v>2.7816557243046918E-2</v>
      </c>
    </row>
    <row r="15" spans="1:19" s="61" customFormat="1" ht="15" hidden="1" outlineLevel="1" x14ac:dyDescent="0.25">
      <c r="A15" s="85" t="s">
        <v>9</v>
      </c>
      <c r="D15" s="61" t="s">
        <v>12</v>
      </c>
      <c r="I15" s="81"/>
      <c r="J15" s="176">
        <f>('CBS (Total)'!J13*'Performance &amp; Economics'!$G$83)/'CBS (CoE)'!J$2/10</f>
        <v>2.3794814025267619</v>
      </c>
      <c r="K15" s="97">
        <f t="shared" si="0"/>
        <v>1.3550147172845436E-2</v>
      </c>
      <c r="L15" s="176">
        <f>('CBS (Total)'!L13*'Performance &amp; Economics'!$G$83)/'CBS (CoE)'!L$2/10</f>
        <v>0.59487035063169047</v>
      </c>
      <c r="M15" s="97">
        <f t="shared" si="1"/>
        <v>1.0758513171208453E-2</v>
      </c>
      <c r="N15" s="176">
        <f>('CBS (Total)'!N13*'Performance &amp; Economics'!$G$83)/'CBS (CoE)'!N$2/10</f>
        <v>0.52348590855588761</v>
      </c>
      <c r="O15" s="97">
        <f t="shared" si="2"/>
        <v>1.6253140216123542E-2</v>
      </c>
      <c r="P15" s="176">
        <f>('CBS (Total)'!P13*'Performance &amp; Economics'!$G$83)/'CBS (CoE)'!P$2/10</f>
        <v>0.49969109453061999</v>
      </c>
      <c r="Q15" s="98">
        <f t="shared" si="3"/>
        <v>1.8051949132205102E-2</v>
      </c>
    </row>
    <row r="16" spans="1:19" s="61" customFormat="1" ht="15" hidden="1" outlineLevel="1" x14ac:dyDescent="0.25">
      <c r="A16" s="85" t="s">
        <v>11</v>
      </c>
      <c r="D16" s="61" t="s">
        <v>13</v>
      </c>
      <c r="I16" s="81"/>
      <c r="J16" s="176">
        <f>('CBS (Total)'!J14*'Performance &amp; Economics'!$G$83)/'CBS (CoE)'!J$2/10</f>
        <v>0.23794814025267619</v>
      </c>
      <c r="K16" s="97">
        <f t="shared" si="0"/>
        <v>1.3550147172845435E-3</v>
      </c>
      <c r="L16" s="176">
        <f>('CBS (Total)'!L14*'Performance &amp; Economics'!$G$83)/'CBS (CoE)'!L$2/10</f>
        <v>5.9487035063169047E-2</v>
      </c>
      <c r="M16" s="97">
        <f t="shared" si="1"/>
        <v>1.0758513171208453E-3</v>
      </c>
      <c r="N16" s="176">
        <f>('CBS (Total)'!N14*'Performance &amp; Economics'!$G$83)/'CBS (CoE)'!N$2/10</f>
        <v>5.234859085558876E-2</v>
      </c>
      <c r="O16" s="97">
        <f t="shared" si="2"/>
        <v>1.6253140216123541E-3</v>
      </c>
      <c r="P16" s="176">
        <f>('CBS (Total)'!P14*'Performance &amp; Economics'!$G$83)/'CBS (CoE)'!P$2/10</f>
        <v>4.9969109453062002E-2</v>
      </c>
      <c r="Q16" s="98">
        <f t="shared" si="3"/>
        <v>1.8051949132205105E-3</v>
      </c>
    </row>
    <row r="17" spans="1:27" s="61" customFormat="1" ht="15" hidden="1" outlineLevel="1" x14ac:dyDescent="0.25">
      <c r="A17" s="85" t="s">
        <v>14</v>
      </c>
      <c r="D17" s="61" t="s">
        <v>15</v>
      </c>
      <c r="I17" s="81"/>
      <c r="J17" s="176">
        <f>('CBS (Total)'!J15*'Performance &amp; Economics'!$G$83)/'CBS (CoE)'!J$2/10</f>
        <v>0</v>
      </c>
      <c r="K17" s="97">
        <f t="shared" si="0"/>
        <v>0</v>
      </c>
      <c r="L17" s="176">
        <f>('CBS (Total)'!L15*'Performance &amp; Economics'!$G$83)/'CBS (CoE)'!L$2/10</f>
        <v>0</v>
      </c>
      <c r="M17" s="97">
        <f t="shared" si="1"/>
        <v>0</v>
      </c>
      <c r="N17" s="176">
        <f>('CBS (Total)'!N15*'Performance &amp; Economics'!$G$83)/'CBS (CoE)'!N$2/10</f>
        <v>0</v>
      </c>
      <c r="O17" s="97">
        <f t="shared" si="2"/>
        <v>0</v>
      </c>
      <c r="P17" s="176">
        <f>('CBS (Total)'!P15*'Performance &amp; Economics'!$G$83)/'CBS (CoE)'!P$2/10</f>
        <v>0</v>
      </c>
      <c r="Q17" s="98">
        <f t="shared" si="3"/>
        <v>0</v>
      </c>
    </row>
    <row r="18" spans="1:27" s="61" customFormat="1" ht="15" hidden="1" outlineLevel="1" x14ac:dyDescent="0.25">
      <c r="A18" s="85" t="s">
        <v>16</v>
      </c>
      <c r="D18" s="61" t="s">
        <v>61</v>
      </c>
      <c r="I18" s="81"/>
      <c r="J18" s="176">
        <f>('CBS (Total)'!J16*'Performance &amp; Economics'!$G$83)/'CBS (CoE)'!J$2/10</f>
        <v>5.5080588021452819</v>
      </c>
      <c r="K18" s="97">
        <f t="shared" si="0"/>
        <v>3.1366081418623688E-2</v>
      </c>
      <c r="L18" s="176">
        <f>('CBS (Total)'!L16*'Performance &amp; Economics'!$G$83)/'CBS (CoE)'!L$2/10</f>
        <v>0.55080588021452814</v>
      </c>
      <c r="M18" s="97">
        <f t="shared" si="1"/>
        <v>9.9615862696374544E-3</v>
      </c>
      <c r="N18" s="176">
        <f>('CBS (Total)'!N16*'Performance &amp; Economics'!$G$83)/'CBS (CoE)'!N$2/10</f>
        <v>0.22032235208581125</v>
      </c>
      <c r="O18" s="97">
        <f t="shared" si="2"/>
        <v>6.8405472290082236E-3</v>
      </c>
      <c r="P18" s="176">
        <f>('CBS (Total)'!P16*'Performance &amp; Economics'!$G$83)/'CBS (CoE)'!P$2/10</f>
        <v>0.22032235208581125</v>
      </c>
      <c r="Q18" s="98">
        <f t="shared" si="3"/>
        <v>7.9594131976212963E-3</v>
      </c>
    </row>
    <row r="19" spans="1:27" s="61" customFormat="1" ht="15" hidden="1" outlineLevel="1" x14ac:dyDescent="0.25">
      <c r="A19" s="85" t="s">
        <v>17</v>
      </c>
      <c r="D19" s="61" t="s">
        <v>18</v>
      </c>
      <c r="I19" s="81"/>
      <c r="J19" s="176">
        <f>('CBS (Total)'!J17*'Performance &amp; Economics'!$G$83)/'CBS (CoE)'!J$2/10</f>
        <v>0</v>
      </c>
      <c r="K19" s="97">
        <f t="shared" si="0"/>
        <v>0</v>
      </c>
      <c r="L19" s="176">
        <f>('CBS (Total)'!L17*'Performance &amp; Economics'!$G$83)/'CBS (CoE)'!L$2/10</f>
        <v>0</v>
      </c>
      <c r="M19" s="97">
        <f t="shared" si="1"/>
        <v>0</v>
      </c>
      <c r="N19" s="176">
        <f>('CBS (Total)'!N17*'Performance &amp; Economics'!$G$83)/'CBS (CoE)'!N$2/10</f>
        <v>0</v>
      </c>
      <c r="O19" s="97">
        <f t="shared" si="2"/>
        <v>0</v>
      </c>
      <c r="P19" s="176">
        <f>('CBS (Total)'!P17*'Performance &amp; Economics'!$G$83)/'CBS (CoE)'!P$2/10</f>
        <v>0</v>
      </c>
      <c r="Q19" s="98">
        <f t="shared" si="3"/>
        <v>0</v>
      </c>
    </row>
    <row r="20" spans="1:27" s="60" customFormat="1" ht="15" collapsed="1" x14ac:dyDescent="0.25">
      <c r="A20" s="73">
        <v>1.3</v>
      </c>
      <c r="C20" s="60" t="s">
        <v>19</v>
      </c>
      <c r="I20" s="84"/>
      <c r="J20" s="175">
        <f>('CBS (Total)'!J18*'Performance &amp; Economics'!$G$83)/'CBS (CoE)'!J$2/10</f>
        <v>1.1952487600655262</v>
      </c>
      <c r="K20" s="93">
        <f t="shared" si="0"/>
        <v>6.8064396678413413E-3</v>
      </c>
      <c r="L20" s="175">
        <f>('CBS (Total)'!L18*'Performance &amp; Economics'!$G$83)/'CBS (CoE)'!L$2/10</f>
        <v>1.1952487600655264</v>
      </c>
      <c r="M20" s="93">
        <f t="shared" si="1"/>
        <v>2.1616642205113282E-2</v>
      </c>
      <c r="N20" s="175">
        <f>('CBS (Total)'!N18*'Performance &amp; Economics'!$G$83)/'CBS (CoE)'!N$2/10</f>
        <v>1.1952487600655262</v>
      </c>
      <c r="O20" s="93">
        <f t="shared" si="2"/>
        <v>3.7109968717369615E-2</v>
      </c>
      <c r="P20" s="175">
        <f>('CBS (Total)'!P18*'Performance &amp; Economics'!$G$83)/'CBS (CoE)'!P$2/10</f>
        <v>1.1952487600655262</v>
      </c>
      <c r="Q20" s="99">
        <f t="shared" si="3"/>
        <v>4.3179816597095542E-2</v>
      </c>
    </row>
    <row r="21" spans="1:27" s="61" customFormat="1" ht="15" hidden="1" outlineLevel="1" x14ac:dyDescent="0.25">
      <c r="A21" s="85" t="s">
        <v>20</v>
      </c>
      <c r="D21" s="61" t="s">
        <v>21</v>
      </c>
      <c r="I21" s="81"/>
      <c r="J21" s="176">
        <f>('CBS (Total)'!J19*'Performance &amp; Economics'!$G$83)/'CBS (CoE)'!J$2/10</f>
        <v>0.6609670562574339</v>
      </c>
      <c r="K21" s="97">
        <f t="shared" si="0"/>
        <v>3.7639297702348434E-3</v>
      </c>
      <c r="L21" s="176">
        <f>('CBS (Total)'!L19*'Performance &amp; Economics'!$G$83)/'CBS (CoE)'!L$2/10</f>
        <v>0.6609670562574339</v>
      </c>
      <c r="M21" s="97">
        <f t="shared" si="1"/>
        <v>1.1953903523564948E-2</v>
      </c>
      <c r="N21" s="176">
        <f>('CBS (Total)'!N19*'Performance &amp; Economics'!$G$83)/'CBS (CoE)'!N$2/10</f>
        <v>0.6609670562574339</v>
      </c>
      <c r="O21" s="97">
        <f t="shared" si="2"/>
        <v>2.0521641687024673E-2</v>
      </c>
      <c r="P21" s="176">
        <f>('CBS (Total)'!P19*'Performance &amp; Economics'!$G$83)/'CBS (CoE)'!P$2/10</f>
        <v>0.6609670562574339</v>
      </c>
      <c r="Q21" s="98">
        <f t="shared" si="3"/>
        <v>2.3878239592863896E-2</v>
      </c>
    </row>
    <row r="22" spans="1:27" s="61" customFormat="1" ht="15" hidden="1" outlineLevel="1" x14ac:dyDescent="0.25">
      <c r="A22" s="85" t="s">
        <v>22</v>
      </c>
      <c r="D22" s="61" t="s">
        <v>23</v>
      </c>
      <c r="I22" s="81"/>
      <c r="J22" s="176">
        <f>('CBS (Total)'!J20*'Performance &amp; Economics'!$G$83)/'CBS (CoE)'!J$2/10</f>
        <v>0.4406447041716226</v>
      </c>
      <c r="K22" s="97">
        <f t="shared" si="0"/>
        <v>2.5092865134898955E-3</v>
      </c>
      <c r="L22" s="176">
        <f>('CBS (Total)'!L20*'Performance &amp; Economics'!$G$83)/'CBS (CoE)'!L$2/10</f>
        <v>0.4406447041716226</v>
      </c>
      <c r="M22" s="97">
        <f t="shared" si="1"/>
        <v>7.9692690157099656E-3</v>
      </c>
      <c r="N22" s="176">
        <f>('CBS (Total)'!N20*'Performance &amp; Economics'!$G$83)/'CBS (CoE)'!N$2/10</f>
        <v>0.44064470417162249</v>
      </c>
      <c r="O22" s="97">
        <f t="shared" si="2"/>
        <v>1.3681094458016447E-2</v>
      </c>
      <c r="P22" s="176">
        <f>('CBS (Total)'!P20*'Performance &amp; Economics'!$G$83)/'CBS (CoE)'!P$2/10</f>
        <v>0.44064470417162249</v>
      </c>
      <c r="Q22" s="98">
        <f t="shared" si="3"/>
        <v>1.5918826395242593E-2</v>
      </c>
    </row>
    <row r="23" spans="1:27" s="61" customFormat="1" ht="15" hidden="1" outlineLevel="1" x14ac:dyDescent="0.25">
      <c r="A23" s="85" t="s">
        <v>24</v>
      </c>
      <c r="D23" s="61" t="s">
        <v>25</v>
      </c>
      <c r="I23" s="81"/>
      <c r="J23" s="176">
        <f>('CBS (Total)'!J21*'Performance &amp; Economics'!$G$83)/'CBS (CoE)'!J$2/10</f>
        <v>0</v>
      </c>
      <c r="K23" s="97">
        <f t="shared" si="0"/>
        <v>0</v>
      </c>
      <c r="L23" s="176">
        <f>('CBS (Total)'!L21*'Performance &amp; Economics'!$G$83)/'CBS (CoE)'!L$2/10</f>
        <v>0</v>
      </c>
      <c r="M23" s="97">
        <f t="shared" si="1"/>
        <v>0</v>
      </c>
      <c r="N23" s="176">
        <f>('CBS (Total)'!N21*'Performance &amp; Economics'!$G$83)/'CBS (CoE)'!N$2/10</f>
        <v>0</v>
      </c>
      <c r="O23" s="97">
        <f t="shared" si="2"/>
        <v>0</v>
      </c>
      <c r="P23" s="176">
        <f>('CBS (Total)'!P21*'Performance &amp; Economics'!$G$83)/'CBS (CoE)'!P$2/10</f>
        <v>0</v>
      </c>
      <c r="Q23" s="98">
        <f t="shared" si="3"/>
        <v>0</v>
      </c>
    </row>
    <row r="24" spans="1:27" s="61" customFormat="1" ht="15" hidden="1" outlineLevel="1" x14ac:dyDescent="0.25">
      <c r="A24" s="85" t="s">
        <v>26</v>
      </c>
      <c r="D24" s="61" t="s">
        <v>27</v>
      </c>
      <c r="I24" s="81"/>
      <c r="J24" s="176">
        <f>('CBS (Total)'!J22*'Performance &amp; Economics'!$G$83)/'CBS (CoE)'!J$2/10</f>
        <v>9.3636999636469792E-2</v>
      </c>
      <c r="K24" s="97">
        <f t="shared" si="0"/>
        <v>5.3322338411660277E-4</v>
      </c>
      <c r="L24" s="176">
        <f>('CBS (Total)'!L22*'Performance &amp; Economics'!$G$83)/'CBS (CoE)'!L$2/10</f>
        <v>9.3636999636469806E-2</v>
      </c>
      <c r="M24" s="97">
        <f t="shared" si="1"/>
        <v>1.6934696658383677E-3</v>
      </c>
      <c r="N24" s="176">
        <f>('CBS (Total)'!N22*'Performance &amp; Economics'!$G$83)/'CBS (CoE)'!N$2/10</f>
        <v>9.3636999636469792E-2</v>
      </c>
      <c r="O24" s="97">
        <f t="shared" si="2"/>
        <v>2.9072325723284954E-3</v>
      </c>
      <c r="P24" s="176">
        <f>('CBS (Total)'!P22*'Performance &amp; Economics'!$G$83)/'CBS (CoE)'!P$2/10</f>
        <v>9.3636999636469792E-2</v>
      </c>
      <c r="Q24" s="98">
        <f t="shared" si="3"/>
        <v>3.3827506089890514E-3</v>
      </c>
      <c r="R24" s="111"/>
    </row>
    <row r="25" spans="1:27" s="61" customFormat="1" ht="15" hidden="1" outlineLevel="1" x14ac:dyDescent="0.25">
      <c r="A25" s="85" t="s">
        <v>28</v>
      </c>
      <c r="D25" s="61" t="s">
        <v>18</v>
      </c>
      <c r="I25" s="81"/>
      <c r="J25" s="176">
        <f>('CBS (Total)'!J23*'Performance &amp; Economics'!$G$83)/'CBS (CoE)'!J$2/10</f>
        <v>0</v>
      </c>
      <c r="K25" s="97">
        <f t="shared" si="0"/>
        <v>0</v>
      </c>
      <c r="L25" s="176">
        <f>('CBS (Total)'!L23*'Performance &amp; Economics'!$G$83)/'CBS (CoE)'!L$2/10</f>
        <v>0</v>
      </c>
      <c r="M25" s="97">
        <f t="shared" si="1"/>
        <v>0</v>
      </c>
      <c r="N25" s="176">
        <f>('CBS (Total)'!N23*'Performance &amp; Economics'!$G$83)/'CBS (CoE)'!N$2/10</f>
        <v>0</v>
      </c>
      <c r="O25" s="97">
        <f t="shared" si="2"/>
        <v>0</v>
      </c>
      <c r="P25" s="176">
        <f>('CBS (Total)'!P23*'Performance &amp; Economics'!$G$83)/'CBS (CoE)'!P$2/10</f>
        <v>0</v>
      </c>
      <c r="Q25" s="98">
        <f t="shared" si="3"/>
        <v>0</v>
      </c>
      <c r="R25" s="96"/>
      <c r="S25" s="96"/>
      <c r="T25" s="96"/>
      <c r="U25" s="96"/>
    </row>
    <row r="26" spans="1:27" s="60" customFormat="1" ht="15" collapsed="1" x14ac:dyDescent="0.25">
      <c r="A26" s="73">
        <v>1.4</v>
      </c>
      <c r="C26" s="60" t="s">
        <v>29</v>
      </c>
      <c r="I26" s="123">
        <f>SUM(I27:I30)</f>
        <v>47.222999999999999</v>
      </c>
      <c r="J26" s="175">
        <f>('CBS (Total)'!J24*'Performance &amp; Economics'!$G$83)/'CBS (CoE)'!J$2/10</f>
        <v>16.285454349006422</v>
      </c>
      <c r="K26" s="93">
        <f t="shared" si="0"/>
        <v>9.2738822405320692E-2</v>
      </c>
      <c r="L26" s="175">
        <f>('CBS (Total)'!L24*'Performance &amp; Economics'!$G$83)/'CBS (CoE)'!L$2/10</f>
        <v>11.421869810231215</v>
      </c>
      <c r="M26" s="93">
        <f t="shared" si="1"/>
        <v>0.2065699469854439</v>
      </c>
      <c r="N26" s="175">
        <f>('CBS (Total)'!N24*'Performance &amp; Economics'!$G$83)/'CBS (CoE)'!N$2/10</f>
        <v>10.025585812183062</v>
      </c>
      <c r="O26" s="93">
        <f t="shared" si="2"/>
        <v>0.31127342549430592</v>
      </c>
      <c r="P26" s="175">
        <f>('CBS (Total)'!P24*'Performance &amp; Economics'!$G$83)/'CBS (CoE)'!P$2/10</f>
        <v>9.6953681800060441</v>
      </c>
      <c r="Q26" s="99">
        <f t="shared" si="3"/>
        <v>0.35025697899994135</v>
      </c>
      <c r="R26" s="102"/>
      <c r="S26" s="102"/>
      <c r="T26" s="102"/>
      <c r="U26" s="102"/>
      <c r="V26" s="103"/>
      <c r="W26" s="102"/>
      <c r="X26" s="102"/>
      <c r="Y26" s="102"/>
    </row>
    <row r="27" spans="1:27" s="61" customFormat="1" ht="15" hidden="1" outlineLevel="1" x14ac:dyDescent="0.25">
      <c r="A27" s="85" t="s">
        <v>30</v>
      </c>
      <c r="D27" s="61" t="str">
        <f>'1.4'!D4</f>
        <v>Pontoon</v>
      </c>
      <c r="I27" s="164">
        <f>'1.4'!E23</f>
        <v>25.28</v>
      </c>
      <c r="J27" s="176">
        <f>('CBS (Total)'!J25*'Performance &amp; Economics'!$G$83)/'CBS (CoE)'!J$2/10</f>
        <v>6.4372946232585502</v>
      </c>
      <c r="K27" s="97">
        <f t="shared" si="0"/>
        <v>3.6657689128183443E-2</v>
      </c>
      <c r="L27" s="176">
        <f>('CBS (Total)'!L25*'Performance &amp; Economics'!$G$83)/'CBS (CoE)'!L$2/10</f>
        <v>4.60021378474827</v>
      </c>
      <c r="M27" s="97">
        <f t="shared" si="1"/>
        <v>8.3197053847168828E-2</v>
      </c>
      <c r="N27" s="176">
        <f>('CBS (Total)'!N25*'Performance &amp; Economics'!$G$83)/'CBS (CoE)'!N$2/10</f>
        <v>4.101352525067993</v>
      </c>
      <c r="O27" s="97">
        <f t="shared" si="2"/>
        <v>0.1273383993268766</v>
      </c>
      <c r="P27" s="176">
        <f>('CBS (Total)'!P25*'Performance &amp; Economics'!$G$83)/'CBS (CoE)'!P$2/10</f>
        <v>3.9973166732001664</v>
      </c>
      <c r="Q27" s="98">
        <f t="shared" si="3"/>
        <v>0.14440793129944998</v>
      </c>
      <c r="R27" s="163"/>
      <c r="S27" s="163"/>
      <c r="T27" s="163"/>
      <c r="U27" s="163"/>
      <c r="V27" s="96"/>
      <c r="W27" s="96"/>
      <c r="X27" s="96"/>
      <c r="Y27" s="96"/>
      <c r="AA27" s="111"/>
    </row>
    <row r="28" spans="1:27" s="61" customFormat="1" ht="15" hidden="1" outlineLevel="1" x14ac:dyDescent="0.25">
      <c r="A28" s="85" t="s">
        <v>31</v>
      </c>
      <c r="D28" s="61" t="str">
        <f>'1.4'!D5</f>
        <v>Rotor Frame</v>
      </c>
      <c r="I28" s="164">
        <f>'1.4'!E36</f>
        <v>11.14</v>
      </c>
      <c r="J28" s="176">
        <f>('CBS (Total)'!J26*'Performance &amp; Economics'!$G$83)/'CBS (CoE)'!J$2/10</f>
        <v>5.8228122217743126</v>
      </c>
      <c r="K28" s="97">
        <f t="shared" si="0"/>
        <v>3.3158469942694863E-2</v>
      </c>
      <c r="L28" s="176">
        <f>('CBS (Total)'!L26*'Performance &amp; Economics'!$G$83)/'CBS (CoE)'!L$2/10</f>
        <v>3.9900926574946163</v>
      </c>
      <c r="M28" s="97">
        <f t="shared" si="1"/>
        <v>7.2162723128516099E-2</v>
      </c>
      <c r="N28" s="176">
        <f>('CBS (Total)'!N26*'Performance &amp; Economics'!$G$83)/'CBS (CoE)'!N$2/10</f>
        <v>3.4375924536549993</v>
      </c>
      <c r="O28" s="97">
        <f t="shared" si="2"/>
        <v>0.106730040373528</v>
      </c>
      <c r="P28" s="176">
        <f>('CBS (Total)'!P26*'Performance &amp; Economics'!$G$83)/'CBS (CoE)'!P$2/10</f>
        <v>3.2930282272650522</v>
      </c>
      <c r="Q28" s="98">
        <f t="shared" si="3"/>
        <v>0.11896465376342938</v>
      </c>
      <c r="R28" s="163"/>
      <c r="S28" s="163"/>
      <c r="T28" s="163"/>
      <c r="U28" s="163"/>
      <c r="V28" s="96"/>
      <c r="W28" s="96"/>
      <c r="X28" s="96"/>
      <c r="Y28" s="96"/>
    </row>
    <row r="29" spans="1:27" s="61" customFormat="1" ht="15" hidden="1" outlineLevel="1" x14ac:dyDescent="0.25">
      <c r="A29" s="85" t="s">
        <v>32</v>
      </c>
      <c r="D29" s="61" t="str">
        <f>'1.4'!D6</f>
        <v>Crossbridge</v>
      </c>
      <c r="I29" s="164">
        <f>'1.4'!E48</f>
        <v>6.51</v>
      </c>
      <c r="J29" s="176">
        <f>('CBS (Total)'!J27*'Performance &amp; Economics'!$G$83)/'CBS (CoE)'!J$2/10</f>
        <v>2.544851654063883</v>
      </c>
      <c r="K29" s="97">
        <f t="shared" si="0"/>
        <v>1.4491861297595044E-2</v>
      </c>
      <c r="L29" s="176">
        <f>('CBS (Total)'!L27*'Performance &amp; Economics'!$G$83)/'CBS (CoE)'!L$2/10</f>
        <v>1.7932115670582189</v>
      </c>
      <c r="M29" s="97">
        <f t="shared" si="1"/>
        <v>3.243108392017318E-2</v>
      </c>
      <c r="N29" s="176">
        <f>('CBS (Total)'!N27*'Performance &amp; Economics'!$G$83)/'CBS (CoE)'!N$2/10</f>
        <v>1.5752239414434268</v>
      </c>
      <c r="O29" s="97">
        <f t="shared" si="2"/>
        <v>4.8907401658055287E-2</v>
      </c>
      <c r="P29" s="176">
        <f>('CBS (Total)'!P27*'Performance &amp; Economics'!$G$83)/'CBS (CoE)'!P$2/10</f>
        <v>1.5236261722675484</v>
      </c>
      <c r="Q29" s="98">
        <f t="shared" si="3"/>
        <v>5.5042850391612774E-2</v>
      </c>
      <c r="R29" s="163"/>
      <c r="S29" s="163"/>
      <c r="T29" s="163"/>
      <c r="U29" s="163"/>
      <c r="V29" s="96"/>
      <c r="W29" s="96"/>
      <c r="X29" s="96"/>
      <c r="Y29" s="96"/>
    </row>
    <row r="30" spans="1:27" s="61" customFormat="1" ht="15" hidden="1" outlineLevel="1" x14ac:dyDescent="0.25">
      <c r="A30" s="85" t="s">
        <v>33</v>
      </c>
      <c r="D30" s="61" t="str">
        <f>'1.4'!D7</f>
        <v>Device Access (Railings, Ladders, etc)</v>
      </c>
      <c r="I30" s="164">
        <f>'1.4'!E58</f>
        <v>4.2930000000000001</v>
      </c>
      <c r="J30" s="176">
        <f>('CBS (Total)'!J28*'Performance &amp; Economics'!$G$83)/'CBS (CoE)'!J$2/10</f>
        <v>1.480495849909675</v>
      </c>
      <c r="K30" s="97">
        <f t="shared" si="0"/>
        <v>8.4308020368473371E-3</v>
      </c>
      <c r="L30" s="176">
        <f>('CBS (Total)'!L28*'Performance &amp; Economics'!$G$83)/'CBS (CoE)'!L$2/10</f>
        <v>1.0383518009301105</v>
      </c>
      <c r="M30" s="97">
        <f t="shared" si="1"/>
        <v>1.8779086089585808E-2</v>
      </c>
      <c r="N30" s="176">
        <f>('CBS (Total)'!N28*'Performance &amp; Economics'!$G$83)/'CBS (CoE)'!N$2/10</f>
        <v>0.91141689201664189</v>
      </c>
      <c r="O30" s="97">
        <f t="shared" si="2"/>
        <v>2.8297584135845988E-2</v>
      </c>
      <c r="P30" s="176">
        <f>('CBS (Total)'!P28*'Performance &amp; Economics'!$G$83)/'CBS (CoE)'!P$2/10</f>
        <v>0.8813971072732768</v>
      </c>
      <c r="Q30" s="98">
        <f t="shared" si="3"/>
        <v>3.184154354544922E-2</v>
      </c>
      <c r="S30" s="176"/>
    </row>
    <row r="31" spans="1:27" s="60" customFormat="1" ht="15" collapsed="1" x14ac:dyDescent="0.25">
      <c r="A31" s="73">
        <v>1.5</v>
      </c>
      <c r="C31" s="60" t="s">
        <v>34</v>
      </c>
      <c r="I31" s="123">
        <f>SUM(I32:I44)</f>
        <v>20.458011791383221</v>
      </c>
      <c r="J31" s="175">
        <f>('CBS (Total)'!J29*'Performance &amp; Economics'!$G$83)/'CBS (CoE)'!J$2/10</f>
        <v>46.678232914713575</v>
      </c>
      <c r="K31" s="93">
        <f t="shared" si="0"/>
        <v>0.26581293095675423</v>
      </c>
      <c r="L31" s="175">
        <f>('CBS (Total)'!L29*'Performance &amp; Economics'!$G$83)/'CBS (CoE)'!L$2/10</f>
        <v>18.575266352340687</v>
      </c>
      <c r="M31" s="93">
        <f t="shared" si="1"/>
        <v>0.33594252512022288</v>
      </c>
      <c r="N31" s="175">
        <f>('CBS (Total)'!N29*'Performance &amp; Economics'!$G$83)/'CBS (CoE)'!N$2/10</f>
        <v>10.787963146995319</v>
      </c>
      <c r="O31" s="93">
        <f t="shared" si="2"/>
        <v>0.33494364377101299</v>
      </c>
      <c r="P31" s="175">
        <f>('CBS (Total)'!P29*'Performance &amp; Economics'!$G$83)/'CBS (CoE)'!P$2/10</f>
        <v>8.7508277143764257</v>
      </c>
      <c r="Q31" s="99">
        <f t="shared" si="3"/>
        <v>0.31613430476082632</v>
      </c>
      <c r="S31" s="175"/>
    </row>
    <row r="32" spans="1:27" s="61" customFormat="1" ht="15" hidden="1" outlineLevel="1" x14ac:dyDescent="0.25">
      <c r="A32" s="85" t="s">
        <v>35</v>
      </c>
      <c r="D32" s="61" t="s">
        <v>36</v>
      </c>
      <c r="I32" s="164">
        <f>'1.5'!L4/1000</f>
        <v>3.3560090702947845</v>
      </c>
      <c r="J32" s="176">
        <f>('CBS (Total)'!J30*'Performance &amp; Economics'!$G$83)/'CBS (CoE)'!J$2/10</f>
        <v>5.640252213396769</v>
      </c>
      <c r="K32" s="97">
        <f t="shared" si="0"/>
        <v>3.2118867372670661E-2</v>
      </c>
      <c r="L32" s="176">
        <f>('CBS (Total)'!L30*'Performance &amp; Economics'!$G$83)/'CBS (CoE)'!L$2/10</f>
        <v>2.6366612052577554</v>
      </c>
      <c r="M32" s="97">
        <f t="shared" si="1"/>
        <v>4.7685271714513228E-2</v>
      </c>
      <c r="N32" s="176">
        <f>('CBS (Total)'!N30*'Performance &amp; Economics'!$G$83)/'CBS (CoE)'!N$2/10</f>
        <v>1.5496140397489577</v>
      </c>
      <c r="O32" s="97">
        <f t="shared" si="2"/>
        <v>4.8112267889680108E-2</v>
      </c>
      <c r="P32" s="176">
        <f>('CBS (Total)'!P30*'Performance &amp; Economics'!$G$83)/'CBS (CoE)'!P$2/10</f>
        <v>1.2325658584555632</v>
      </c>
      <c r="Q32" s="98">
        <f t="shared" si="3"/>
        <v>4.452794220764144E-2</v>
      </c>
      <c r="S32" s="176"/>
    </row>
    <row r="33" spans="1:19" s="61" customFormat="1" ht="15" hidden="1" outlineLevel="1" x14ac:dyDescent="0.25">
      <c r="A33" s="85" t="s">
        <v>37</v>
      </c>
      <c r="D33" s="61" t="s">
        <v>74</v>
      </c>
      <c r="I33" s="164">
        <f>'1.5'!L5/1000</f>
        <v>4.5006802721088439</v>
      </c>
      <c r="J33" s="176">
        <f>('CBS (Total)'!J31*'Performance &amp; Economics'!$G$83)/'CBS (CoE)'!J$2/10</f>
        <v>8.2397640408928297</v>
      </c>
      <c r="K33" s="97">
        <f t="shared" si="0"/>
        <v>4.6921995399945862E-2</v>
      </c>
      <c r="L33" s="176">
        <f>('CBS (Total)'!L31*'Performance &amp; Economics'!$G$83)/'CBS (CoE)'!L$2/10</f>
        <v>4.1402135977677492</v>
      </c>
      <c r="M33" s="97">
        <f t="shared" si="1"/>
        <v>7.4877731720703708E-2</v>
      </c>
      <c r="N33" s="176">
        <f>('CBS (Total)'!N31*'Performance &amp; Economics'!$G$83)/'CBS (CoE)'!N$2/10</f>
        <v>2.5592115402800526</v>
      </c>
      <c r="O33" s="97">
        <f t="shared" si="2"/>
        <v>7.9458154129954897E-2</v>
      </c>
      <c r="P33" s="176">
        <f>('CBS (Total)'!P31*'Performance &amp; Economics'!$G$83)/'CBS (CoE)'!P$2/10</f>
        <v>2.0803227556117738</v>
      </c>
      <c r="Q33" s="98">
        <f t="shared" si="3"/>
        <v>7.5154192207784618E-2</v>
      </c>
      <c r="S33" s="176"/>
    </row>
    <row r="34" spans="1:19" s="61" customFormat="1" ht="15" hidden="1" outlineLevel="1" x14ac:dyDescent="0.25">
      <c r="A34" s="85" t="s">
        <v>38</v>
      </c>
      <c r="D34" s="61" t="s">
        <v>40</v>
      </c>
      <c r="I34" s="164">
        <f>'1.5'!L6/1000</f>
        <v>0</v>
      </c>
      <c r="J34" s="176">
        <f>('CBS (Total)'!J32*'Performance &amp; Economics'!$G$83)/'CBS (CoE)'!J$2/10</f>
        <v>0</v>
      </c>
      <c r="K34" s="97">
        <f t="shared" si="0"/>
        <v>0</v>
      </c>
      <c r="L34" s="176">
        <f>('CBS (Total)'!L32*'Performance &amp; Economics'!$G$83)/'CBS (CoE)'!L$2/10</f>
        <v>0</v>
      </c>
      <c r="M34" s="97">
        <f t="shared" si="1"/>
        <v>0</v>
      </c>
      <c r="N34" s="176">
        <f>('CBS (Total)'!N32*'Performance &amp; Economics'!$G$83)/'CBS (CoE)'!N$2/10</f>
        <v>0</v>
      </c>
      <c r="O34" s="97">
        <f t="shared" si="2"/>
        <v>0</v>
      </c>
      <c r="P34" s="176">
        <f>('CBS (Total)'!P32*'Performance &amp; Economics'!$G$83)/'CBS (CoE)'!P$2/10</f>
        <v>0</v>
      </c>
      <c r="Q34" s="98">
        <f t="shared" si="3"/>
        <v>0</v>
      </c>
      <c r="S34" s="176"/>
    </row>
    <row r="35" spans="1:19" s="61" customFormat="1" ht="15" hidden="1" outlineLevel="1" x14ac:dyDescent="0.25">
      <c r="A35" s="85" t="s">
        <v>39</v>
      </c>
      <c r="D35" s="61" t="s">
        <v>41</v>
      </c>
      <c r="I35" s="164">
        <f>'1.5'!L7/1000</f>
        <v>0.22675736961451248</v>
      </c>
      <c r="J35" s="176">
        <f>('CBS (Total)'!J33*'Performance &amp; Economics'!$G$83)/'CBS (CoE)'!J$2/10</f>
        <v>1.7625788166864904</v>
      </c>
      <c r="K35" s="97">
        <f t="shared" si="0"/>
        <v>1.0037146053959582E-2</v>
      </c>
      <c r="L35" s="176">
        <f>('CBS (Total)'!L33*'Performance &amp; Economics'!$G$83)/'CBS (CoE)'!L$2/10</f>
        <v>1.382676800847614</v>
      </c>
      <c r="M35" s="97">
        <f t="shared" si="1"/>
        <v>2.5006367450734666E-2</v>
      </c>
      <c r="N35" s="176">
        <f>('CBS (Total)'!N33*'Performance &amp; Economics'!$G$83)/'CBS (CoE)'!N$2/10</f>
        <v>1.1668895679445581</v>
      </c>
      <c r="O35" s="97">
        <f t="shared" si="2"/>
        <v>3.6229475243859298E-2</v>
      </c>
      <c r="P35" s="176">
        <f>('CBS (Total)'!P33*'Performance &amp; Economics'!$G$83)/'CBS (CoE)'!P$2/10</f>
        <v>1.0846579554361244</v>
      </c>
      <c r="Q35" s="98">
        <f t="shared" si="3"/>
        <v>3.9184589142552101E-2</v>
      </c>
    </row>
    <row r="36" spans="1:19" s="61" customFormat="1" ht="15" hidden="1" outlineLevel="1" x14ac:dyDescent="0.25">
      <c r="A36" s="85" t="s">
        <v>42</v>
      </c>
      <c r="D36" s="61" t="s">
        <v>43</v>
      </c>
      <c r="I36" s="164">
        <f>'1.5'!L8/1000</f>
        <v>0.18140589569160998</v>
      </c>
      <c r="J36" s="176">
        <f>('CBS (Total)'!J34*'Performance &amp; Economics'!$G$83)/'CBS (CoE)'!J$2/10</f>
        <v>0.13770147005363206</v>
      </c>
      <c r="K36" s="97">
        <f t="shared" si="0"/>
        <v>7.8415203546559236E-4</v>
      </c>
      <c r="L36" s="176">
        <f>('CBS (Total)'!L34*'Performance &amp; Economics'!$G$83)/'CBS (CoE)'!L$2/10</f>
        <v>0.12316393905660565</v>
      </c>
      <c r="M36" s="97">
        <f t="shared" si="1"/>
        <v>2.2274784062633651E-3</v>
      </c>
      <c r="N36" s="176">
        <f>('CBS (Total)'!N34*'Performance &amp; Economics'!$G$83)/'CBS (CoE)'!N$2/10</f>
        <v>0.11392393413706026</v>
      </c>
      <c r="O36" s="97">
        <f t="shared" si="2"/>
        <v>3.5370993664567449E-3</v>
      </c>
      <c r="P36" s="176">
        <f>('CBS (Total)'!P34*'Performance &amp; Economics'!$G$83)/'CBS (CoE)'!P$2/10</f>
        <v>0.11016117604286357</v>
      </c>
      <c r="Q36" s="98">
        <f t="shared" si="3"/>
        <v>3.9797065988091294E-3</v>
      </c>
      <c r="S36" s="176"/>
    </row>
    <row r="37" spans="1:19" s="61" customFormat="1" ht="15" hidden="1" outlineLevel="1" x14ac:dyDescent="0.25">
      <c r="A37" s="85" t="s">
        <v>44</v>
      </c>
      <c r="D37" s="61" t="s">
        <v>45</v>
      </c>
      <c r="I37" s="164">
        <f>'1.5'!L9/1000</f>
        <v>0</v>
      </c>
      <c r="J37" s="176">
        <f>('CBS (Total)'!J35*'Performance &amp; Economics'!$G$83)/'CBS (CoE)'!J$2/10</f>
        <v>0.46267693938020377</v>
      </c>
      <c r="K37" s="97">
        <f t="shared" si="0"/>
        <v>2.6347508391643907E-3</v>
      </c>
      <c r="L37" s="176">
        <f>('CBS (Total)'!L35*'Performance &amp; Economics'!$G$83)/'CBS (CoE)'!L$2/10</f>
        <v>0.46267693938020377</v>
      </c>
      <c r="M37" s="97">
        <f t="shared" si="1"/>
        <v>8.3677324664954648E-3</v>
      </c>
      <c r="N37" s="176">
        <f>('CBS (Total)'!N35*'Performance &amp; Economics'!$G$83)/'CBS (CoE)'!N$2/10</f>
        <v>0.46267693938020366</v>
      </c>
      <c r="O37" s="97">
        <f t="shared" si="2"/>
        <v>1.436514918091727E-2</v>
      </c>
      <c r="P37" s="176">
        <f>('CBS (Total)'!P35*'Performance &amp; Economics'!$G$83)/'CBS (CoE)'!P$2/10</f>
        <v>0.46267693938020366</v>
      </c>
      <c r="Q37" s="98">
        <f t="shared" si="3"/>
        <v>1.6714767715004724E-2</v>
      </c>
    </row>
    <row r="38" spans="1:19" s="61" customFormat="1" ht="15" hidden="1" outlineLevel="1" x14ac:dyDescent="0.25">
      <c r="A38" s="85" t="s">
        <v>46</v>
      </c>
      <c r="D38" s="61" t="s">
        <v>47</v>
      </c>
      <c r="I38" s="164">
        <f>'1.5'!L10/1000</f>
        <v>0</v>
      </c>
      <c r="J38" s="176">
        <f>('CBS (Total)'!J36*'Performance &amp; Economics'!$G$83)/'CBS (CoE)'!J$2/10</f>
        <v>0</v>
      </c>
      <c r="K38" s="97">
        <f t="shared" ref="K38:K55" si="4">J38/$J$57</f>
        <v>0</v>
      </c>
      <c r="L38" s="176">
        <f>('CBS (Total)'!L36*'Performance &amp; Economics'!$G$83)/'CBS (CoE)'!L$2/10</f>
        <v>0</v>
      </c>
      <c r="M38" s="97">
        <f t="shared" ref="M38:M55" si="5">L38/$L$57</f>
        <v>0</v>
      </c>
      <c r="N38" s="176">
        <f>('CBS (Total)'!N36*'Performance &amp; Economics'!$G$83)/'CBS (CoE)'!N$2/10</f>
        <v>0</v>
      </c>
      <c r="O38" s="97">
        <f t="shared" ref="O38:O55" si="6">N38/$N$57</f>
        <v>0</v>
      </c>
      <c r="P38" s="176">
        <f>('CBS (Total)'!P36*'Performance &amp; Economics'!$G$83)/'CBS (CoE)'!P$2/10</f>
        <v>0</v>
      </c>
      <c r="Q38" s="98">
        <f t="shared" ref="Q38:Q55" si="7">P38/$P$57</f>
        <v>0</v>
      </c>
      <c r="S38" s="176"/>
    </row>
    <row r="39" spans="1:19" s="61" customFormat="1" ht="15" hidden="1" outlineLevel="1" x14ac:dyDescent="0.25">
      <c r="A39" s="85" t="s">
        <v>48</v>
      </c>
      <c r="D39" s="61" t="s">
        <v>62</v>
      </c>
      <c r="I39" s="164">
        <f>'1.5'!L11/1000</f>
        <v>0</v>
      </c>
      <c r="J39" s="176">
        <f>('CBS (Total)'!J37*'Performance &amp; Economics'!$G$83)/'CBS (CoE)'!J$2/10</f>
        <v>0</v>
      </c>
      <c r="K39" s="97">
        <f t="shared" si="4"/>
        <v>0</v>
      </c>
      <c r="L39" s="176">
        <f>('CBS (Total)'!L37*'Performance &amp; Economics'!$G$83)/'CBS (CoE)'!L$2/10</f>
        <v>0</v>
      </c>
      <c r="M39" s="97">
        <f t="shared" si="5"/>
        <v>0</v>
      </c>
      <c r="N39" s="176">
        <f>('CBS (Total)'!N37*'Performance &amp; Economics'!$G$83)/'CBS (CoE)'!N$2/10</f>
        <v>0</v>
      </c>
      <c r="O39" s="97">
        <f t="shared" si="6"/>
        <v>0</v>
      </c>
      <c r="P39" s="176">
        <f>('CBS (Total)'!P37*'Performance &amp; Economics'!$G$83)/'CBS (CoE)'!P$2/10</f>
        <v>0</v>
      </c>
      <c r="Q39" s="98">
        <f t="shared" si="7"/>
        <v>0</v>
      </c>
    </row>
    <row r="40" spans="1:19" s="61" customFormat="1" ht="15" hidden="1" outlineLevel="1" x14ac:dyDescent="0.25">
      <c r="A40" s="85" t="s">
        <v>63</v>
      </c>
      <c r="D40" s="61" t="s">
        <v>64</v>
      </c>
      <c r="I40" s="164">
        <f>'1.5'!L12/1000</f>
        <v>1.8140589569160998E-2</v>
      </c>
      <c r="J40" s="176">
        <f>('CBS (Total)'!J38*'Performance &amp; Economics'!$G$83)/'CBS (CoE)'!J$2/10</f>
        <v>0.45716888057805843</v>
      </c>
      <c r="K40" s="97">
        <f t="shared" si="4"/>
        <v>2.6033847577457666E-3</v>
      </c>
      <c r="L40" s="176">
        <f>('CBS (Total)'!L38*'Performance &amp; Economics'!$G$83)/'CBS (CoE)'!L$2/10</f>
        <v>0.22441537722425284</v>
      </c>
      <c r="M40" s="97">
        <f t="shared" si="5"/>
        <v>4.058658813849138E-3</v>
      </c>
      <c r="N40" s="176">
        <f>('CBS (Total)'!N38*'Performance &amp; Economics'!$G$83)/'CBS (CoE)'!N$2/10</f>
        <v>0.13647530438184993</v>
      </c>
      <c r="O40" s="97">
        <f t="shared" si="6"/>
        <v>4.2372721441068847E-3</v>
      </c>
      <c r="P40" s="176">
        <f>('CBS (Total)'!P38*'Performance &amp; Economics'!$G$83)/'CBS (CoE)'!P$2/10</f>
        <v>0.110161176042919</v>
      </c>
      <c r="Q40" s="98">
        <f t="shared" si="7"/>
        <v>3.9797065988111313E-3</v>
      </c>
      <c r="R40" s="163"/>
    </row>
    <row r="41" spans="1:19" s="61" customFormat="1" ht="15" hidden="1" outlineLevel="1" x14ac:dyDescent="0.25">
      <c r="A41" s="85" t="s">
        <v>69</v>
      </c>
      <c r="D41" s="61" t="s">
        <v>66</v>
      </c>
      <c r="I41" s="164">
        <f>'1.5'!L13/1000</f>
        <v>7.679818594104308</v>
      </c>
      <c r="J41" s="176">
        <f>('CBS (Total)'!J39*'Performance &amp; Economics'!$G$83)/'CBS (CoE)'!J$2/10</f>
        <v>18.265179055182571</v>
      </c>
      <c r="K41" s="97">
        <f t="shared" si="4"/>
        <v>0.10401252309569761</v>
      </c>
      <c r="L41" s="176">
        <f>('CBS (Total)'!L39*'Performance &amp; Economics'!$G$83)/'CBS (CoE)'!L$2/10</f>
        <v>4.5091549549358536</v>
      </c>
      <c r="M41" s="97">
        <f t="shared" si="5"/>
        <v>8.1550211608601347E-2</v>
      </c>
      <c r="N41" s="176">
        <f>('CBS (Total)'!N39*'Performance &amp; Economics'!$G$83)/'CBS (CoE)'!N$2/10</f>
        <v>1.6960973281351166</v>
      </c>
      <c r="O41" s="97">
        <f t="shared" si="6"/>
        <v>5.2660266960040801E-2</v>
      </c>
      <c r="P41" s="176">
        <f>('CBS (Total)'!P39*'Performance &amp; Economics'!$G$83)/'CBS (CoE)'!P$2/10</f>
        <v>1.1131825396397312</v>
      </c>
      <c r="Q41" s="98">
        <f t="shared" si="7"/>
        <v>4.0215074473783592E-2</v>
      </c>
    </row>
    <row r="42" spans="1:19" s="61" customFormat="1" ht="15" hidden="1" outlineLevel="1" x14ac:dyDescent="0.25">
      <c r="A42" s="85" t="s">
        <v>70</v>
      </c>
      <c r="D42" s="61" t="s">
        <v>67</v>
      </c>
      <c r="I42" s="164">
        <f>'1.5'!L14/1000</f>
        <v>0</v>
      </c>
      <c r="J42" s="176">
        <f>('CBS (Total)'!J40*'Performance &amp; Economics'!$G$83)/'CBS (CoE)'!J$2/10</f>
        <v>4.201414179575762</v>
      </c>
      <c r="K42" s="97">
        <f t="shared" si="4"/>
        <v>2.3925289101599082E-2</v>
      </c>
      <c r="L42" s="176">
        <f>('CBS (Total)'!L40*'Performance &amp; Economics'!$G$83)/'CBS (CoE)'!L$2/10</f>
        <v>1.837731582023288</v>
      </c>
      <c r="M42" s="97">
        <f t="shared" si="5"/>
        <v>3.3236249561519195E-2</v>
      </c>
      <c r="N42" s="176">
        <f>('CBS (Total)'!N40*'Performance &amp; Economics'!$G$83)/'CBS (CoE)'!N$2/10</f>
        <v>1.0310330136293255</v>
      </c>
      <c r="O42" s="97">
        <f t="shared" si="6"/>
        <v>3.201141399239938E-2</v>
      </c>
      <c r="P42" s="176">
        <f>('CBS (Total)'!P40*'Performance &amp; Economics'!$G$83)/'CBS (CoE)'!P$2/10</f>
        <v>0.80383823713063085</v>
      </c>
      <c r="Q42" s="98">
        <f t="shared" si="7"/>
        <v>2.9039634938529766E-2</v>
      </c>
    </row>
    <row r="43" spans="1:19" s="61" customFormat="1" ht="15" hidden="1" outlineLevel="1" x14ac:dyDescent="0.25">
      <c r="A43" s="85" t="s">
        <v>71</v>
      </c>
      <c r="D43" s="61" t="s">
        <v>72</v>
      </c>
      <c r="I43" s="164">
        <f>'1.5'!L15/1000</f>
        <v>0.8952</v>
      </c>
      <c r="J43" s="176">
        <f>('CBS (Total)'!J41*'Performance &amp; Economics'!$G$83)/'CBS (CoE)'!J$2/10</f>
        <v>1.5175803611670682</v>
      </c>
      <c r="K43" s="97">
        <f t="shared" si="4"/>
        <v>8.6419827524592003E-3</v>
      </c>
      <c r="L43" s="176">
        <f>('CBS (Total)'!L41*'Performance &amp; Economics'!$G$83)/'CBS (CoE)'!L$2/10</f>
        <v>0.87318927144910552</v>
      </c>
      <c r="M43" s="97">
        <f t="shared" si="5"/>
        <v>1.5792043203813118E-2</v>
      </c>
      <c r="N43" s="176">
        <f>('CBS (Total)'!N41*'Performance &amp; Economics'!$G$83)/'CBS (CoE)'!N$2/10</f>
        <v>0.59336963758360173</v>
      </c>
      <c r="O43" s="97">
        <f t="shared" si="6"/>
        <v>1.8422883523725408E-2</v>
      </c>
      <c r="P43" s="176">
        <f>('CBS (Total)'!P41*'Performance &amp; Economics'!$G$83)/'CBS (CoE)'!P$2/10</f>
        <v>0.50241787735541299</v>
      </c>
      <c r="Q43" s="98">
        <f t="shared" si="7"/>
        <v>1.8150457481436285E-2</v>
      </c>
    </row>
    <row r="44" spans="1:19" s="61" customFormat="1" ht="15" hidden="1" outlineLevel="1" x14ac:dyDescent="0.25">
      <c r="A44" s="85" t="s">
        <v>73</v>
      </c>
      <c r="D44" s="61" t="s">
        <v>154</v>
      </c>
      <c r="I44" s="164">
        <f>'1.5'!L16/1000</f>
        <v>3.6</v>
      </c>
      <c r="J44" s="176">
        <f>('CBS (Total)'!J42*'Performance &amp; Economics'!$G$83)/'CBS (CoE)'!J$2/10</f>
        <v>1.5935177646487244</v>
      </c>
      <c r="K44" s="97">
        <f t="shared" si="4"/>
        <v>9.0744143705451981E-3</v>
      </c>
      <c r="L44" s="176">
        <f>('CBS (Total)'!L42*'Performance &amp; Economics'!$G$83)/'CBS (CoE)'!L$2/10</f>
        <v>1.2281055685641442</v>
      </c>
      <c r="M44" s="97">
        <f t="shared" si="5"/>
        <v>2.2210873211282751E-2</v>
      </c>
      <c r="N44" s="176">
        <f>('CBS (Total)'!N42*'Performance &amp; Economics'!$G$83)/'CBS (CoE)'!N$2/10</f>
        <v>1.0236874257899053</v>
      </c>
      <c r="O44" s="97">
        <f t="shared" si="6"/>
        <v>3.1783348886591088E-2</v>
      </c>
      <c r="P44" s="176">
        <f>('CBS (Total)'!P42*'Performance &amp; Economics'!$G$83)/'CBS (CoE)'!P$2/10</f>
        <v>0.94648664796701387</v>
      </c>
      <c r="Q44" s="98">
        <f t="shared" si="7"/>
        <v>3.4192982445407312E-2</v>
      </c>
    </row>
    <row r="45" spans="1:19" s="61" customFormat="1" ht="15" hidden="1" outlineLevel="1" x14ac:dyDescent="0.25">
      <c r="A45" s="85" t="s">
        <v>155</v>
      </c>
      <c r="D45" s="61" t="s">
        <v>18</v>
      </c>
      <c r="I45" s="165"/>
      <c r="J45" s="176">
        <f>('CBS (Total)'!J43*'Performance &amp; Economics'!$G$83)/'CBS (CoE)'!J$2/10</f>
        <v>4.400399193151471</v>
      </c>
      <c r="K45" s="97">
        <f t="shared" si="4"/>
        <v>2.5058425177501311E-2</v>
      </c>
      <c r="L45" s="176">
        <f>('CBS (Total)'!L43*'Performance &amp; Economics'!$G$83)/'CBS (CoE)'!L$2/10</f>
        <v>1.1572771158341149</v>
      </c>
      <c r="M45" s="97">
        <f t="shared" si="5"/>
        <v>2.0929906962446912E-2</v>
      </c>
      <c r="N45" s="176">
        <f>('CBS (Total)'!N43*'Performance &amp; Economics'!$G$83)/'CBS (CoE)'!N$2/10</f>
        <v>0.45498441598468575</v>
      </c>
      <c r="O45" s="97">
        <f t="shared" si="6"/>
        <v>1.4126312453281047E-2</v>
      </c>
      <c r="P45" s="176">
        <f>('CBS (Total)'!P43*'Performance &amp; Economics'!$G$83)/'CBS (CoE)'!P$2/10</f>
        <v>0.30435655131419043</v>
      </c>
      <c r="Q45" s="98">
        <f t="shared" si="7"/>
        <v>1.0995250951066257E-2</v>
      </c>
      <c r="R45" s="176"/>
    </row>
    <row r="46" spans="1:19" s="60" customFormat="1" ht="15" collapsed="1" x14ac:dyDescent="0.25">
      <c r="A46" s="73">
        <v>1.6</v>
      </c>
      <c r="C46" s="60" t="s">
        <v>77</v>
      </c>
      <c r="I46" s="84"/>
      <c r="J46" s="175">
        <f>('CBS (Total)'!J44*'Performance &amp; Economics'!$G$83)/'CBS (CoE)'!J$2/10</f>
        <v>6.2963687263720001</v>
      </c>
      <c r="K46" s="93">
        <f t="shared" si="4"/>
        <v>3.5855175336207495E-2</v>
      </c>
      <c r="L46" s="175">
        <f>('CBS (Total)'!L44*'Performance &amp; Economics'!$G$83)/'CBS (CoE)'!L$2/10</f>
        <v>2.9997136162571905</v>
      </c>
      <c r="M46" s="93">
        <f t="shared" si="5"/>
        <v>5.4251247210566685E-2</v>
      </c>
      <c r="N46" s="175">
        <f>('CBS (Total)'!N44*'Performance &amp; Economics'!$G$83)/'CBS (CoE)'!N$2/10</f>
        <v>2.0813548959178383</v>
      </c>
      <c r="O46" s="93">
        <f t="shared" si="6"/>
        <v>6.4621706926531894E-2</v>
      </c>
      <c r="P46" s="175">
        <f>('CBS (Total)'!P44*'Performance &amp; Economics'!$G$83)/'CBS (CoE)'!P$2/10</f>
        <v>1.8446195894382469</v>
      </c>
      <c r="Q46" s="99">
        <f t="shared" si="7"/>
        <v>6.6639128376076759E-2</v>
      </c>
    </row>
    <row r="47" spans="1:19" s="60" customFormat="1" ht="15" x14ac:dyDescent="0.25">
      <c r="A47" s="73">
        <v>1.7</v>
      </c>
      <c r="C47" s="60" t="s">
        <v>49</v>
      </c>
      <c r="I47" s="84"/>
      <c r="J47" s="175">
        <f>('CBS (Total)'!J45*'Performance &amp; Economics'!$G$83)/'CBS (CoE)'!J$2/10</f>
        <v>29.175912072023454</v>
      </c>
      <c r="K47" s="93">
        <f t="shared" si="4"/>
        <v>0.16614456497037877</v>
      </c>
      <c r="L47" s="175">
        <f>('CBS (Total)'!L45*'Performance &amp; Economics'!$G$83)/'CBS (CoE)'!L$2/10</f>
        <v>3.8619754291241648</v>
      </c>
      <c r="M47" s="93">
        <f t="shared" si="5"/>
        <v>6.984566212956303E-2</v>
      </c>
      <c r="N47" s="175">
        <f>('CBS (Total)'!N45*'Performance &amp; Economics'!$G$83)/'CBS (CoE)'!N$2/10</f>
        <v>1.712934682702755</v>
      </c>
      <c r="O47" s="93">
        <f t="shared" si="6"/>
        <v>5.3183031527689523E-2</v>
      </c>
      <c r="P47" s="175">
        <f>('CBS (Total)'!P45*'Performance &amp; Economics'!$G$83)/'CBS (CoE)'!P$2/10</f>
        <v>1.4829153930957668</v>
      </c>
      <c r="Q47" s="99">
        <f t="shared" si="7"/>
        <v>5.3572123931234762E-2</v>
      </c>
    </row>
    <row r="48" spans="1:19" s="61" customFormat="1" ht="15" hidden="1" outlineLevel="1" x14ac:dyDescent="0.25">
      <c r="A48" s="85" t="s">
        <v>78</v>
      </c>
      <c r="D48" s="61" t="s">
        <v>50</v>
      </c>
      <c r="I48" s="81"/>
      <c r="J48" s="176">
        <f>('CBS (Total)'!J46*'Performance &amp; Economics'!$G$83)/'CBS (CoE)'!J$2/10</f>
        <v>0</v>
      </c>
      <c r="K48" s="97">
        <f t="shared" si="4"/>
        <v>0</v>
      </c>
      <c r="L48" s="176">
        <f>('CBS (Total)'!L46*'Performance &amp; Economics'!$G$83)/'CBS (CoE)'!L$2/10</f>
        <v>0</v>
      </c>
      <c r="M48" s="97">
        <f t="shared" si="5"/>
        <v>0</v>
      </c>
      <c r="N48" s="176">
        <f>('CBS (Total)'!N46*'Performance &amp; Economics'!$G$83)/'CBS (CoE)'!N$2/10</f>
        <v>0</v>
      </c>
      <c r="O48" s="97">
        <f t="shared" si="6"/>
        <v>0</v>
      </c>
      <c r="P48" s="176">
        <f>('CBS (Total)'!P46*'Performance &amp; Economics'!$G$83)/'CBS (CoE)'!P$2/10</f>
        <v>0</v>
      </c>
      <c r="Q48" s="98">
        <f t="shared" si="7"/>
        <v>0</v>
      </c>
    </row>
    <row r="49" spans="1:19" s="61" customFormat="1" ht="15" hidden="1" outlineLevel="1" x14ac:dyDescent="0.25">
      <c r="A49" s="85" t="s">
        <v>79</v>
      </c>
      <c r="D49" s="61" t="s">
        <v>51</v>
      </c>
      <c r="I49" s="81"/>
      <c r="J49" s="176">
        <f>('CBS (Total)'!J47*'Performance &amp; Economics'!$G$83)/'CBS (CoE)'!J$2/10</f>
        <v>9.3636999636469813</v>
      </c>
      <c r="K49" s="97">
        <f t="shared" si="4"/>
        <v>5.3322338411660286E-2</v>
      </c>
      <c r="L49" s="176">
        <f>('CBS (Total)'!L47*'Performance &amp; Economics'!$G$83)/'CBS (CoE)'!L$2/10</f>
        <v>0.93636999636469798</v>
      </c>
      <c r="M49" s="97">
        <f t="shared" si="5"/>
        <v>1.6934696658383677E-2</v>
      </c>
      <c r="N49" s="176">
        <f>('CBS (Total)'!N47*'Performance &amp; Economics'!$G$83)/'CBS (CoE)'!N$2/10</f>
        <v>0.18727399927293958</v>
      </c>
      <c r="O49" s="97">
        <f t="shared" si="6"/>
        <v>5.8144651446569908E-3</v>
      </c>
      <c r="P49" s="176">
        <f>('CBS (Total)'!P47*'Performance &amp; Economics'!$G$83)/'CBS (CoE)'!P$2/10</f>
        <v>9.3636999636469792E-2</v>
      </c>
      <c r="Q49" s="98">
        <f t="shared" si="7"/>
        <v>3.3827506089890514E-3</v>
      </c>
    </row>
    <row r="50" spans="1:19" s="61" customFormat="1" ht="15" hidden="1" outlineLevel="1" x14ac:dyDescent="0.25">
      <c r="A50" s="85" t="s">
        <v>80</v>
      </c>
      <c r="D50" s="61" t="s">
        <v>75</v>
      </c>
      <c r="I50" s="81"/>
      <c r="J50" s="176">
        <f>('CBS (Total)'!J48*'Performance &amp; Economics'!$G$83)/'CBS (CoE)'!J$2/10</f>
        <v>11.837644574630534</v>
      </c>
      <c r="K50" s="97">
        <f t="shared" si="4"/>
        <v>6.7410413880835116E-2</v>
      </c>
      <c r="L50" s="176">
        <f>('CBS (Total)'!L48*'Performance &amp; Economics'!$G$83)/'CBS (CoE)'!L$2/10</f>
        <v>1.8396365593285029</v>
      </c>
      <c r="M50" s="97">
        <f t="shared" si="5"/>
        <v>3.3270701981962143E-2</v>
      </c>
      <c r="N50" s="176">
        <f>('CBS (Total)'!N48*'Performance &amp; Economics'!$G$83)/'CBS (CoE)'!N$2/10</f>
        <v>0.95515798493881543</v>
      </c>
      <c r="O50" s="97">
        <f t="shared" si="6"/>
        <v>2.9655653388238626E-2</v>
      </c>
      <c r="P50" s="176">
        <f>('CBS (Total)'!P48*'Performance &amp; Economics'!$G$83)/'CBS (CoE)'!P$2/10</f>
        <v>0.88320896683579275</v>
      </c>
      <c r="Q50" s="98">
        <f t="shared" si="7"/>
        <v>3.1906999177969464E-2</v>
      </c>
    </row>
    <row r="51" spans="1:19" s="61" customFormat="1" ht="15" hidden="1" outlineLevel="1" x14ac:dyDescent="0.25">
      <c r="A51" s="85" t="s">
        <v>81</v>
      </c>
      <c r="D51" s="61" t="s">
        <v>12</v>
      </c>
      <c r="I51" s="81"/>
      <c r="J51" s="176">
        <f>('CBS (Total)'!J49*'Performance &amp; Economics'!$G$83)/'CBS (CoE)'!J$2/10</f>
        <v>6.0015808708174996</v>
      </c>
      <c r="K51" s="97">
        <f t="shared" si="4"/>
        <v>3.4176482313732374E-2</v>
      </c>
      <c r="L51" s="176">
        <f>('CBS (Total)'!L49*'Performance &amp; Economics'!$G$83)/'CBS (CoE)'!L$2/10</f>
        <v>0.60015808708175</v>
      </c>
      <c r="M51" s="97">
        <f t="shared" si="5"/>
        <v>1.0854144399396973E-2</v>
      </c>
      <c r="N51" s="176">
        <f>('CBS (Total)'!N49*'Performance &amp; Economics'!$G$83)/'CBS (CoE)'!N$2/10</f>
        <v>0.21688532339327266</v>
      </c>
      <c r="O51" s="97">
        <f t="shared" si="6"/>
        <v>6.7338346922356969E-3</v>
      </c>
      <c r="P51" s="176">
        <f>('CBS (Total)'!P49*'Performance &amp; Economics'!$G$83)/'CBS (CoE)'!P$2/10</f>
        <v>0.16897622793221298</v>
      </c>
      <c r="Q51" s="98">
        <f t="shared" si="7"/>
        <v>6.104471951915655E-3</v>
      </c>
    </row>
    <row r="52" spans="1:19" s="61" customFormat="1" ht="15" hidden="1" outlineLevel="1" x14ac:dyDescent="0.25">
      <c r="A52" s="85" t="s">
        <v>82</v>
      </c>
      <c r="D52" s="61" t="s">
        <v>52</v>
      </c>
      <c r="I52" s="81"/>
      <c r="J52" s="176">
        <f>('CBS (Total)'!J50*'Performance &amp; Economics'!$G$83)/'CBS (CoE)'!J$2/10</f>
        <v>1.9024835102609807</v>
      </c>
      <c r="K52" s="97">
        <f t="shared" si="4"/>
        <v>1.0833844521992625E-2</v>
      </c>
      <c r="L52" s="176">
        <f>('CBS (Total)'!L50*'Performance &amp; Economics'!$G$83)/'CBS (CoE)'!L$2/10</f>
        <v>0.41530763368175433</v>
      </c>
      <c r="M52" s="97">
        <f t="shared" si="5"/>
        <v>7.5110360473066434E-3</v>
      </c>
      <c r="N52" s="176">
        <f>('CBS (Total)'!N50*'Performance &amp; Economics'!$G$83)/'CBS (CoE)'!N$2/10</f>
        <v>0.28311422243026751</v>
      </c>
      <c r="O52" s="97">
        <f t="shared" si="6"/>
        <v>8.7901031892755697E-3</v>
      </c>
      <c r="P52" s="176">
        <f>('CBS (Total)'!P50*'Performance &amp; Economics'!$G$83)/'CBS (CoE)'!P$2/10</f>
        <v>0.26659004602383163</v>
      </c>
      <c r="Q52" s="98">
        <f t="shared" si="7"/>
        <v>9.6308899691217691E-3</v>
      </c>
    </row>
    <row r="53" spans="1:19" s="61" customFormat="1" ht="15" hidden="1" outlineLevel="1" x14ac:dyDescent="0.25">
      <c r="A53" s="85" t="s">
        <v>83</v>
      </c>
      <c r="D53" s="61" t="s">
        <v>53</v>
      </c>
      <c r="I53" s="81"/>
      <c r="J53" s="176">
        <f>('CBS (Total)'!J51*'Performance &amp; Economics'!$G$83)/'CBS (CoE)'!J$2/10</f>
        <v>7.0503152667459615E-2</v>
      </c>
      <c r="K53" s="97">
        <f t="shared" si="4"/>
        <v>4.0148584215838327E-4</v>
      </c>
      <c r="L53" s="176">
        <f>('CBS (Total)'!L51*'Performance &amp; Economics'!$G$83)/'CBS (CoE)'!L$2/10</f>
        <v>7.0503152667459629E-2</v>
      </c>
      <c r="M53" s="97">
        <f t="shared" si="5"/>
        <v>1.2750830425135946E-3</v>
      </c>
      <c r="N53" s="176">
        <f>('CBS (Total)'!N51*'Performance &amp; Economics'!$G$83)/'CBS (CoE)'!N$2/10</f>
        <v>7.0503152667459615E-2</v>
      </c>
      <c r="O53" s="97">
        <f t="shared" si="6"/>
        <v>2.1889751132826321E-3</v>
      </c>
      <c r="P53" s="176">
        <f>('CBS (Total)'!P51*'Performance &amp; Economics'!$G$83)/'CBS (CoE)'!P$2/10</f>
        <v>7.0503152667459615E-2</v>
      </c>
      <c r="Q53" s="98">
        <f t="shared" si="7"/>
        <v>2.5470122232388154E-3</v>
      </c>
    </row>
    <row r="54" spans="1:19" s="84" customFormat="1" ht="15" collapsed="1" x14ac:dyDescent="0.25">
      <c r="A54" s="101">
        <v>1.8</v>
      </c>
      <c r="C54" s="84" t="s">
        <v>164</v>
      </c>
      <c r="J54" s="175">
        <v>0</v>
      </c>
      <c r="K54" s="93">
        <f t="shared" si="4"/>
        <v>0</v>
      </c>
      <c r="L54" s="175">
        <v>0</v>
      </c>
      <c r="M54" s="93">
        <f t="shared" si="5"/>
        <v>0</v>
      </c>
      <c r="N54" s="175">
        <v>0</v>
      </c>
      <c r="O54" s="93">
        <f t="shared" si="6"/>
        <v>0</v>
      </c>
      <c r="P54" s="175">
        <v>0</v>
      </c>
      <c r="Q54" s="99">
        <f t="shared" si="7"/>
        <v>0</v>
      </c>
    </row>
    <row r="55" spans="1:19" s="84" customFormat="1" ht="15" x14ac:dyDescent="0.25">
      <c r="A55" s="658">
        <v>1.9</v>
      </c>
      <c r="C55" s="84" t="s">
        <v>161</v>
      </c>
      <c r="J55" s="175">
        <f>('CBS (Total)'!J53*'Performance &amp; Economics'!$G$83)/'CBS (CoE)'!J$2/10</f>
        <v>15.964143295232684</v>
      </c>
      <c r="K55" s="93">
        <f t="shared" si="4"/>
        <v>9.0909090909090925E-2</v>
      </c>
      <c r="L55" s="175">
        <f>('CBS (Total)'!L53*'Performance &amp; Economics'!$G$83)/'CBS (CoE)'!L$2/10</f>
        <v>5.0266353653238767</v>
      </c>
      <c r="M55" s="93">
        <f t="shared" si="5"/>
        <v>9.0909090909090925E-2</v>
      </c>
      <c r="N55" s="175">
        <f>('CBS (Total)'!N53*'Performance &amp; Economics'!$G$83)/'CBS (CoE)'!N$2/10</f>
        <v>2.9280266716289733</v>
      </c>
      <c r="O55" s="93">
        <f t="shared" si="6"/>
        <v>9.0909090909090884E-2</v>
      </c>
      <c r="P55" s="175">
        <f>('CBS (Total)'!P53*'Performance &amp; Economics'!$G$83)/'CBS (CoE)'!P$2/10</f>
        <v>2.5164298218692291</v>
      </c>
      <c r="Q55" s="99">
        <f t="shared" si="7"/>
        <v>9.0909090909090912E-2</v>
      </c>
    </row>
    <row r="56" spans="1:19" ht="15" outlineLevel="1" x14ac:dyDescent="0.25">
      <c r="I56" s="62"/>
      <c r="J56" s="175"/>
      <c r="K56" s="93"/>
      <c r="L56" s="175"/>
      <c r="M56" s="93"/>
      <c r="N56" s="175"/>
      <c r="O56" s="93"/>
      <c r="P56" s="175"/>
      <c r="Q56" s="99"/>
    </row>
    <row r="57" spans="1:19" ht="15" outlineLevel="1" x14ac:dyDescent="0.25">
      <c r="A57" s="663" t="s">
        <v>552</v>
      </c>
      <c r="B57" s="167"/>
      <c r="C57" s="167"/>
      <c r="D57" s="167"/>
      <c r="E57" s="167"/>
      <c r="F57" s="167"/>
      <c r="G57" s="167"/>
      <c r="H57" s="167"/>
      <c r="I57" s="171">
        <f>I31+I26</f>
        <v>67.681011791383213</v>
      </c>
      <c r="J57" s="178">
        <f>('CBS (Total)'!J55*'Performance &amp; Economics'!$G$83)/'CBS (CoE)'!J$2/10</f>
        <v>175.6055762475595</v>
      </c>
      <c r="K57" s="172">
        <f t="shared" ref="K57" si="8">J57/$J$57</f>
        <v>1</v>
      </c>
      <c r="L57" s="178">
        <f>('CBS (Total)'!L55*'Performance &amp; Economics'!$G$83)/'CBS (CoE)'!L$2/10</f>
        <v>55.292989018562636</v>
      </c>
      <c r="M57" s="172">
        <f t="shared" ref="M57" si="9">L57/$L$57</f>
        <v>1</v>
      </c>
      <c r="N57" s="178">
        <f>('CBS (Total)'!N55*'Performance &amp; Economics'!$G$83)/'CBS (CoE)'!N$2/10</f>
        <v>32.208293387918715</v>
      </c>
      <c r="O57" s="172">
        <f t="shared" ref="O57" si="10">N57/$N$57</f>
        <v>1</v>
      </c>
      <c r="P57" s="178">
        <f>('CBS (Total)'!P55*'Performance &amp; Economics'!$G$83)/'CBS (CoE)'!P$2/10</f>
        <v>27.680728040561519</v>
      </c>
      <c r="Q57" s="173">
        <f t="shared" ref="Q57" si="11">P57/$P$57</f>
        <v>1</v>
      </c>
      <c r="R57" s="646"/>
      <c r="S57" s="646"/>
    </row>
    <row r="58" spans="1:19" ht="15" outlineLevel="1" x14ac:dyDescent="0.25">
      <c r="I58" s="62"/>
      <c r="J58" s="175"/>
      <c r="K58" s="91"/>
      <c r="L58" s="175"/>
      <c r="M58" s="91"/>
      <c r="N58" s="175"/>
      <c r="O58" s="91"/>
      <c r="P58" s="175"/>
      <c r="Q58" s="62"/>
    </row>
    <row r="59" spans="1:19" s="60" customFormat="1" ht="15" x14ac:dyDescent="0.25">
      <c r="A59" s="73">
        <v>2</v>
      </c>
      <c r="B59" s="60" t="s">
        <v>60</v>
      </c>
      <c r="I59" s="84"/>
      <c r="J59" s="175">
        <f>('CBS (Total)'!J57)/'CBS (CoE)'!J$2/10</f>
        <v>98.235208276383858</v>
      </c>
      <c r="K59" s="99">
        <f>J59/$J$57</f>
        <v>0.55940825101075964</v>
      </c>
      <c r="L59" s="175">
        <f>('CBS (Total)'!L57)/'CBS (CoE)'!L$2/10</f>
        <v>24.983879372298702</v>
      </c>
      <c r="M59" s="99">
        <f>L59/$L$57</f>
        <v>0.4518453390883112</v>
      </c>
      <c r="N59" s="175">
        <f>('CBS (Total)'!N57)/'CBS (CoE)'!N$2/10</f>
        <v>11.011817475810991</v>
      </c>
      <c r="O59" s="99">
        <f>N59/$N$57</f>
        <v>0.34189385147433821</v>
      </c>
      <c r="P59" s="175">
        <f>('CBS (Total)'!P57)/'CBS (CoE)'!P$2/10</f>
        <v>8.3212184478515034</v>
      </c>
      <c r="Q59" s="99">
        <f>P59/$P$57</f>
        <v>0.30061414698551775</v>
      </c>
    </row>
    <row r="60" spans="1:19" s="61" customFormat="1" ht="15" outlineLevel="1" x14ac:dyDescent="0.25">
      <c r="A60" s="85">
        <v>2.1</v>
      </c>
      <c r="C60" s="61" t="s">
        <v>54</v>
      </c>
      <c r="I60" s="81"/>
      <c r="J60" s="176">
        <f>('CBS (Total)'!J58)/'CBS (CoE)'!J$2/10</f>
        <v>19.143672574412118</v>
      </c>
      <c r="K60" s="98">
        <f t="shared" ref="K60:K65" si="12">J60/$J$57</f>
        <v>0.10901517470848635</v>
      </c>
      <c r="L60" s="176">
        <f>('CBS (Total)'!L58)/'CBS (CoE)'!L$2/10</f>
        <v>6.9746563052571542</v>
      </c>
      <c r="M60" s="98">
        <f t="shared" ref="M60:M65" si="13">L60/$L$57</f>
        <v>0.12613997595455842</v>
      </c>
      <c r="N60" s="176">
        <f>('CBS (Total)'!N58)/'CBS (CoE)'!N$2/10</f>
        <v>2.3627635047515922</v>
      </c>
      <c r="O60" s="98">
        <f t="shared" ref="O60:O65" si="14">N60/$N$57</f>
        <v>7.3358854388660702E-2</v>
      </c>
      <c r="P60" s="176">
        <f>('CBS (Total)'!P58)/'CBS (CoE)'!P$2/10</f>
        <v>1.0543448752803322</v>
      </c>
      <c r="Q60" s="98">
        <f t="shared" ref="Q60:Q65" si="15">P60/$P$57</f>
        <v>3.8089492217667269E-2</v>
      </c>
    </row>
    <row r="61" spans="1:19" s="61" customFormat="1" ht="15" outlineLevel="1" x14ac:dyDescent="0.25">
      <c r="A61" s="85">
        <v>2.2000000000000002</v>
      </c>
      <c r="C61" s="61" t="s">
        <v>55</v>
      </c>
      <c r="I61" s="81"/>
      <c r="J61" s="176">
        <f>('CBS (Total)'!J59)/'CBS (CoE)'!J$2/10</f>
        <v>62.382059860373147</v>
      </c>
      <c r="K61" s="98">
        <f t="shared" si="12"/>
        <v>0.35523962959143279</v>
      </c>
      <c r="L61" s="176">
        <f>('CBS (Total)'!L59)/'CBS (CoE)'!L$2/10</f>
        <v>8.5133164044744518</v>
      </c>
      <c r="M61" s="98">
        <f t="shared" si="13"/>
        <v>0.15396737553139714</v>
      </c>
      <c r="N61" s="176">
        <f>('CBS (Total)'!N59)/'CBS (CoE)'!N$2/10</f>
        <v>1.7026632808948903</v>
      </c>
      <c r="O61" s="98">
        <f t="shared" si="14"/>
        <v>5.2864126030768115E-2</v>
      </c>
      <c r="P61" s="176">
        <f>('CBS (Total)'!P59)/'CBS (CoE)'!P$2/10</f>
        <v>0.85133164044744514</v>
      </c>
      <c r="Q61" s="98">
        <f t="shared" si="15"/>
        <v>3.0755391953562774E-2</v>
      </c>
      <c r="R61" s="91"/>
    </row>
    <row r="62" spans="1:19" s="61" customFormat="1" ht="15" outlineLevel="1" x14ac:dyDescent="0.25">
      <c r="A62" s="85">
        <v>2.2999999999999998</v>
      </c>
      <c r="C62" s="61" t="s">
        <v>56</v>
      </c>
      <c r="I62" s="81"/>
      <c r="J62" s="176">
        <f>('CBS (Total)'!J60)/'CBS (CoE)'!J$2/10</f>
        <v>3.464039088717191</v>
      </c>
      <c r="K62" s="98">
        <f t="shared" si="12"/>
        <v>1.9726247666724268E-2</v>
      </c>
      <c r="L62" s="176">
        <f>('CBS (Total)'!L60)/'CBS (CoE)'!L$2/10</f>
        <v>3.464039088717191</v>
      </c>
      <c r="M62" s="98">
        <f t="shared" si="13"/>
        <v>6.2648794181740908E-2</v>
      </c>
      <c r="N62" s="176">
        <f>('CBS (Total)'!N60)/'CBS (CoE)'!N$2/10</f>
        <v>3.464039088717191</v>
      </c>
      <c r="O62" s="98">
        <f t="shared" si="14"/>
        <v>0.10755115295914894</v>
      </c>
      <c r="P62" s="176">
        <f>('CBS (Total)'!P60)/'CBS (CoE)'!P$2/10</f>
        <v>3.464039088717191</v>
      </c>
      <c r="Q62" s="98">
        <f t="shared" si="15"/>
        <v>0.12514262932828993</v>
      </c>
      <c r="R62" s="163"/>
    </row>
    <row r="63" spans="1:19" s="61" customFormat="1" ht="15" outlineLevel="1" x14ac:dyDescent="0.25">
      <c r="A63" s="85">
        <v>2.4</v>
      </c>
      <c r="C63" s="61" t="s">
        <v>57</v>
      </c>
      <c r="I63" s="81"/>
      <c r="J63" s="176">
        <f>('CBS (Total)'!J61)/'CBS (CoE)'!J$2/10</f>
        <v>4.579577100337981</v>
      </c>
      <c r="K63" s="98">
        <f t="shared" si="12"/>
        <v>2.6078768101771062E-2</v>
      </c>
      <c r="L63" s="176">
        <f>('CBS (Total)'!L61)/'CBS (CoE)'!L$2/10</f>
        <v>2.5833511848060406</v>
      </c>
      <c r="M63" s="98">
        <f t="shared" si="13"/>
        <v>4.6721134644010169E-2</v>
      </c>
      <c r="N63" s="176">
        <f>('CBS (Total)'!N61)/'CBS (CoE)'!N$2/10</f>
        <v>1.4795556785707324</v>
      </c>
      <c r="O63" s="98">
        <f t="shared" si="14"/>
        <v>4.5937102619839881E-2</v>
      </c>
      <c r="P63" s="176">
        <f>('CBS (Total)'!P61)/'CBS (CoE)'!P$2/10</f>
        <v>1.3269031085594665</v>
      </c>
      <c r="Q63" s="98">
        <f t="shared" si="15"/>
        <v>4.7935990217277159E-2</v>
      </c>
    </row>
    <row r="64" spans="1:19" s="61" customFormat="1" ht="15" outlineLevel="1" x14ac:dyDescent="0.25">
      <c r="A64" s="177">
        <v>2.5</v>
      </c>
      <c r="C64" s="61" t="s">
        <v>58</v>
      </c>
      <c r="I64" s="81"/>
      <c r="J64" s="176">
        <f>('CBS (Total)'!J62)/'CBS (CoE)'!J$2/10</f>
        <v>7.8780542295849214</v>
      </c>
      <c r="K64" s="98">
        <f t="shared" si="12"/>
        <v>4.4862209947586489E-2</v>
      </c>
      <c r="L64" s="176">
        <f>('CBS (Total)'!L62)/'CBS (CoE)'!L$2/10</f>
        <v>3.1350148991307836</v>
      </c>
      <c r="M64" s="98">
        <f>L64/$L$57</f>
        <v>5.6698235251458638E-2</v>
      </c>
      <c r="N64" s="176">
        <f>('CBS (Total)'!N62)/'CBS (CoE)'!N$2/10</f>
        <v>1.8207235662514414</v>
      </c>
      <c r="O64" s="98">
        <f t="shared" si="14"/>
        <v>5.6529650432655093E-2</v>
      </c>
      <c r="P64" s="176">
        <f>('CBS (Total)'!P62)/'CBS (CoE)'!P$2/10</f>
        <v>1.476908849860971</v>
      </c>
      <c r="Q64" s="98">
        <f t="shared" si="15"/>
        <v>5.3355130244291477E-2</v>
      </c>
    </row>
    <row r="65" spans="1:17" s="61" customFormat="1" ht="15" outlineLevel="1" x14ac:dyDescent="0.25">
      <c r="A65" s="85">
        <v>2.6</v>
      </c>
      <c r="C65" s="61" t="s">
        <v>59</v>
      </c>
      <c r="I65" s="81"/>
      <c r="J65" s="176">
        <f>('CBS (Total)'!J63)/'CBS (CoE)'!J$2/10</f>
        <v>0.7878054229584921</v>
      </c>
      <c r="K65" s="98">
        <f t="shared" si="12"/>
        <v>4.4862209947586487E-3</v>
      </c>
      <c r="L65" s="176">
        <f>('CBS (Total)'!L63)/'CBS (CoE)'!L$2/10</f>
        <v>0.31350148991307836</v>
      </c>
      <c r="M65" s="98">
        <f t="shared" si="13"/>
        <v>5.6698235251458643E-3</v>
      </c>
      <c r="N65" s="176">
        <f>('CBS (Total)'!N63)/'CBS (CoE)'!N$2/10</f>
        <v>0.18207235662514415</v>
      </c>
      <c r="O65" s="98">
        <f t="shared" si="14"/>
        <v>5.6529650432655095E-3</v>
      </c>
      <c r="P65" s="176">
        <f>('CBS (Total)'!P63)/'CBS (CoE)'!P$2/10</f>
        <v>0.14769088498609712</v>
      </c>
      <c r="Q65" s="98">
        <f t="shared" si="15"/>
        <v>5.335513024429148E-3</v>
      </c>
    </row>
    <row r="66" spans="1:17" ht="15" x14ac:dyDescent="0.25">
      <c r="I66" s="62"/>
      <c r="J66" s="175"/>
      <c r="K66" s="81"/>
      <c r="L66" s="175"/>
      <c r="M66" s="81"/>
      <c r="N66" s="175"/>
      <c r="O66" s="81"/>
      <c r="P66" s="175"/>
      <c r="Q66" s="62"/>
    </row>
    <row r="67" spans="1:17" s="60" customFormat="1" ht="15" x14ac:dyDescent="0.25">
      <c r="A67" s="166" t="s">
        <v>251</v>
      </c>
      <c r="B67" s="167"/>
      <c r="C67" s="167"/>
      <c r="D67" s="167"/>
      <c r="E67" s="167"/>
      <c r="F67" s="167"/>
      <c r="G67" s="167"/>
      <c r="H67" s="167"/>
      <c r="I67" s="167"/>
      <c r="J67" s="178">
        <f>('CBS (Total)'!J65)/'CBS (CoE)'!J$2/10</f>
        <v>98.235208276383858</v>
      </c>
      <c r="K67" s="169">
        <f t="shared" ref="K67:Q67" si="16">SUM(K60:K65)</f>
        <v>0.55940825101075953</v>
      </c>
      <c r="L67" s="178">
        <f>('CBS (Total)'!L65)/'CBS (CoE)'!L$2/10</f>
        <v>24.983879372298702</v>
      </c>
      <c r="M67" s="169">
        <f t="shared" si="16"/>
        <v>0.45184533908831115</v>
      </c>
      <c r="N67" s="178">
        <f>('CBS (Total)'!N65)/'CBS (CoE)'!N$2/10</f>
        <v>11.011817475810991</v>
      </c>
      <c r="O67" s="169">
        <f t="shared" si="16"/>
        <v>0.34189385147433826</v>
      </c>
      <c r="P67" s="178">
        <f>('CBS (Total)'!P65)/'CBS (CoE)'!P$2/10</f>
        <v>8.3212184478515034</v>
      </c>
      <c r="Q67" s="169">
        <f t="shared" si="16"/>
        <v>0.30061414698551775</v>
      </c>
    </row>
    <row r="68" spans="1:17" ht="15" x14ac:dyDescent="0.25">
      <c r="J68" s="4"/>
      <c r="K68" s="91"/>
      <c r="L68" s="4"/>
      <c r="M68" s="91"/>
      <c r="N68" s="4"/>
      <c r="O68" s="91"/>
      <c r="P68" s="4"/>
    </row>
    <row r="69" spans="1:17" ht="15" x14ac:dyDescent="0.25">
      <c r="J69" s="62"/>
      <c r="K69" s="81"/>
      <c r="L69" s="62"/>
      <c r="M69" s="81"/>
      <c r="N69" s="62"/>
      <c r="O69" s="81"/>
      <c r="P69" s="62"/>
    </row>
  </sheetData>
  <mergeCells count="1">
    <mergeCell ref="J3:P3"/>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zoomScale="70" zoomScaleNormal="70" workbookViewId="0">
      <pane xSplit="8" ySplit="4" topLeftCell="I15" activePane="bottomRight" state="frozen"/>
      <selection activeCell="A3" sqref="A3"/>
      <selection pane="topRight" activeCell="I3" sqref="I3"/>
      <selection pane="bottomLeft" activeCell="A5" sqref="A5"/>
      <selection pane="bottomRight" activeCell="J31" sqref="J31"/>
    </sheetView>
  </sheetViews>
  <sheetFormatPr defaultColWidth="9.109375" defaultRowHeight="14.4" outlineLevelRow="2" x14ac:dyDescent="0.3"/>
  <cols>
    <col min="1" max="1" width="8.44140625" style="39" customWidth="1"/>
    <col min="2" max="2" width="3.88671875" style="72" customWidth="1"/>
    <col min="3" max="4" width="4.109375" style="72" customWidth="1"/>
    <col min="5" max="7" width="9.109375" style="72"/>
    <col min="8" max="9" width="20.33203125" style="72" customWidth="1"/>
    <col min="10" max="10" width="19.5546875" style="72" bestFit="1" customWidth="1"/>
    <col min="11" max="11" width="10.109375" style="61" customWidth="1"/>
    <col min="12" max="12" width="20.44140625" style="72" bestFit="1" customWidth="1"/>
    <col min="13" max="13" width="10.109375" style="61" customWidth="1"/>
    <col min="14" max="14" width="22.6640625" style="72" bestFit="1" customWidth="1"/>
    <col min="15" max="15" width="11.5546875" style="61" customWidth="1"/>
    <col min="16" max="16" width="20.88671875" style="72" customWidth="1"/>
    <col min="17" max="17" width="11" style="72" customWidth="1"/>
    <col min="18" max="18" width="17.109375" style="72" bestFit="1" customWidth="1"/>
    <col min="19" max="19" width="16.88671875" style="72" bestFit="1" customWidth="1"/>
    <col min="20" max="22" width="13.33203125" style="72" bestFit="1" customWidth="1"/>
    <col min="23" max="16384" width="9.109375" style="72"/>
  </cols>
  <sheetData>
    <row r="1" spans="1:19" ht="23.25" customHeight="1" x14ac:dyDescent="0.25">
      <c r="A1" s="39" t="s">
        <v>252</v>
      </c>
      <c r="J1" s="593">
        <f>'CBS (Total)'!J2*'Performance &amp; Economics'!$S$15</f>
        <v>89.51</v>
      </c>
      <c r="K1" s="593"/>
      <c r="L1" s="593">
        <f>'CBS (Total)'!L2*'Performance &amp; Economics'!$S$15</f>
        <v>895.1</v>
      </c>
      <c r="M1" s="593"/>
      <c r="N1" s="593">
        <f>'CBS (Total)'!N2*'Performance &amp; Economics'!$S$15</f>
        <v>4475.5</v>
      </c>
      <c r="O1" s="593"/>
      <c r="P1" s="593">
        <f>'CBS (Total)'!P2*'Performance &amp; Economics'!$S$15</f>
        <v>8951</v>
      </c>
    </row>
    <row r="2" spans="1:19" ht="29.25" customHeight="1" x14ac:dyDescent="0.25"/>
    <row r="3" spans="1:19" ht="20.25" customHeight="1" x14ac:dyDescent="0.25">
      <c r="A3" s="3" t="s">
        <v>360</v>
      </c>
      <c r="I3" s="60"/>
      <c r="J3" s="676" t="s">
        <v>68</v>
      </c>
      <c r="K3" s="676"/>
      <c r="L3" s="676"/>
      <c r="M3" s="676"/>
      <c r="N3" s="676"/>
      <c r="O3" s="676"/>
      <c r="P3" s="676"/>
      <c r="Q3" s="60"/>
    </row>
    <row r="4" spans="1:19" ht="22.5" customHeight="1" x14ac:dyDescent="0.25">
      <c r="I4" s="60" t="s">
        <v>118</v>
      </c>
      <c r="J4" s="60">
        <v>1</v>
      </c>
      <c r="K4" s="104" t="s">
        <v>165</v>
      </c>
      <c r="L4" s="60">
        <v>10</v>
      </c>
      <c r="M4" s="104" t="s">
        <v>165</v>
      </c>
      <c r="N4" s="60">
        <v>50</v>
      </c>
      <c r="O4" s="104" t="s">
        <v>166</v>
      </c>
      <c r="P4" s="60">
        <v>100</v>
      </c>
      <c r="Q4" s="104" t="s">
        <v>166</v>
      </c>
      <c r="R4" s="60"/>
      <c r="S4" s="73"/>
    </row>
    <row r="5" spans="1:19" ht="15" x14ac:dyDescent="0.25">
      <c r="A5" s="73">
        <v>1</v>
      </c>
      <c r="B5" s="60" t="s">
        <v>0</v>
      </c>
      <c r="J5" s="65"/>
      <c r="K5" s="96"/>
      <c r="L5" s="65"/>
      <c r="M5" s="96"/>
      <c r="N5" s="65"/>
      <c r="O5" s="96"/>
      <c r="P5" s="65"/>
    </row>
    <row r="6" spans="1:19" s="60" customFormat="1" ht="15" x14ac:dyDescent="0.25">
      <c r="A6" s="73">
        <v>1.1000000000000001</v>
      </c>
      <c r="C6" s="60" t="s">
        <v>107</v>
      </c>
      <c r="J6" s="161">
        <f>'CBS (Total)'!J4/'CBS ($ per kW)'!J$1</f>
        <v>10523.723221261715</v>
      </c>
      <c r="K6" s="93">
        <f t="shared" ref="K6:K23" si="0">J6/$J$57</f>
        <v>0.29546173244565288</v>
      </c>
      <c r="L6" s="161">
        <f>'CBS (Total)'!L4/'CBS ($ per kW)'!L$1</f>
        <v>2232.5615186907594</v>
      </c>
      <c r="M6" s="93">
        <f t="shared" ref="M6:M23" si="1">L6/$L$57</f>
        <v>0.19906893468203254</v>
      </c>
      <c r="N6" s="161">
        <f>'CBS (Total)'!N4/'CBS ($ per kW)'!N$1</f>
        <v>543.78890761652906</v>
      </c>
      <c r="O6" s="93">
        <f t="shared" ref="O6:O23" si="2">N6/$N$57</f>
        <v>8.3240131187254984E-2</v>
      </c>
      <c r="P6" s="160">
        <f>'CBS (Total)'!P4/'CBS ($ per kW)'!P$1</f>
        <v>289.09936452262514</v>
      </c>
      <c r="Q6" s="99">
        <f t="shared" ref="Q6:Q23" si="3">P6/$P$57</f>
        <v>5.1491999182687397E-2</v>
      </c>
      <c r="R6" s="126"/>
      <c r="S6" s="126"/>
    </row>
    <row r="7" spans="1:19" s="61" customFormat="1" ht="15" outlineLevel="1" x14ac:dyDescent="0.25">
      <c r="A7" s="85" t="s">
        <v>2</v>
      </c>
      <c r="D7" s="61" t="s">
        <v>1</v>
      </c>
      <c r="I7" s="81"/>
      <c r="J7" s="162">
        <f>'CBS (Total)'!J5/'CBS ($ per kW)'!J$1</f>
        <v>6814.8810188805719</v>
      </c>
      <c r="K7" s="97">
        <f t="shared" si="0"/>
        <v>0.19133309665360451</v>
      </c>
      <c r="L7" s="162">
        <f>'CBS (Total)'!L5/'CBS ($ per kW)'!L$1</f>
        <v>1607.0830074851972</v>
      </c>
      <c r="M7" s="97">
        <f t="shared" si="1"/>
        <v>0.14329741848873481</v>
      </c>
      <c r="N7" s="162">
        <f>'CBS (Total)'!N5/'CBS ($ per kW)'!N$1</f>
        <v>361.63557144453137</v>
      </c>
      <c r="O7" s="97">
        <f t="shared" si="2"/>
        <v>5.5357128450749062E-2</v>
      </c>
      <c r="P7" s="163">
        <f>'CBS (Total)'!P5/'CBS ($ per kW)'!P$1</f>
        <v>180.81778572226568</v>
      </c>
      <c r="Q7" s="98">
        <f t="shared" si="3"/>
        <v>3.2205775650875186E-2</v>
      </c>
      <c r="R7" s="96"/>
      <c r="S7" s="96"/>
    </row>
    <row r="8" spans="1:19" s="61" customFormat="1" ht="15" outlineLevel="2" x14ac:dyDescent="0.25">
      <c r="A8" s="85" t="s">
        <v>108</v>
      </c>
      <c r="E8" s="61" t="s">
        <v>3</v>
      </c>
      <c r="I8" s="81"/>
      <c r="J8" s="162">
        <f>'CBS (Total)'!J6/'CBS ($ per kW)'!J$1</f>
        <v>1061.3339291699251</v>
      </c>
      <c r="K8" s="97">
        <f t="shared" si="0"/>
        <v>2.9797777347692508E-2</v>
      </c>
      <c r="L8" s="162">
        <f>'CBS (Total)'!L6/'CBS ($ per kW)'!L$1</f>
        <v>191.04010725058652</v>
      </c>
      <c r="M8" s="97">
        <f t="shared" si="1"/>
        <v>1.703431252108005E-2</v>
      </c>
      <c r="N8" s="162">
        <f>'CBS (Total)'!N6/'CBS ($ per kW)'!N$1</f>
        <v>40.442408669422413</v>
      </c>
      <c r="O8" s="97">
        <f t="shared" si="2"/>
        <v>6.1906952422524442E-3</v>
      </c>
      <c r="P8" s="163">
        <f>'CBS (Total)'!P6/'CBS ($ per kW)'!P$1</f>
        <v>20.221204334711206</v>
      </c>
      <c r="Q8" s="98">
        <f t="shared" si="3"/>
        <v>3.601634471923638E-3</v>
      </c>
    </row>
    <row r="9" spans="1:19" s="61" customFormat="1" ht="15" outlineLevel="2" x14ac:dyDescent="0.25">
      <c r="A9" s="85" t="s">
        <v>109</v>
      </c>
      <c r="E9" s="61" t="s">
        <v>5</v>
      </c>
      <c r="I9" s="81"/>
      <c r="J9" s="162">
        <f>'CBS (Total)'!J7/'CBS ($ per kW)'!J$1</f>
        <v>3239.861467992403</v>
      </c>
      <c r="K9" s="97">
        <f t="shared" si="0"/>
        <v>9.0961636114008704E-2</v>
      </c>
      <c r="L9" s="162">
        <f>'CBS (Total)'!L7/'CBS ($ per kW)'!L$1</f>
        <v>846.27415931180872</v>
      </c>
      <c r="M9" s="97">
        <f t="shared" si="1"/>
        <v>7.5459015992503736E-2</v>
      </c>
      <c r="N9" s="162">
        <f>'CBS (Total)'!N7/'CBS ($ per kW)'!N$1</f>
        <v>207.23941459054853</v>
      </c>
      <c r="O9" s="97">
        <f t="shared" si="2"/>
        <v>3.1723037774525641E-2</v>
      </c>
      <c r="P9" s="163">
        <f>'CBS (Total)'!P7/'CBS ($ per kW)'!P$1</f>
        <v>103.61970729527427</v>
      </c>
      <c r="Q9" s="98">
        <f t="shared" si="3"/>
        <v>1.8455889351984386E-2</v>
      </c>
      <c r="R9" s="96"/>
    </row>
    <row r="10" spans="1:19" s="61" customFormat="1" ht="15" outlineLevel="2" x14ac:dyDescent="0.25">
      <c r="A10" s="85" t="s">
        <v>110</v>
      </c>
      <c r="E10" s="61" t="s">
        <v>7</v>
      </c>
      <c r="I10" s="81"/>
      <c r="J10" s="162">
        <f>'CBS (Total)'!J8/'CBS ($ per kW)'!J$1</f>
        <v>1424.4218523070047</v>
      </c>
      <c r="K10" s="97">
        <f t="shared" si="0"/>
        <v>3.9991753808745208E-2</v>
      </c>
      <c r="L10" s="162">
        <f>'CBS (Total)'!L8/'CBS ($ per kW)'!L$1</f>
        <v>337.95106691989719</v>
      </c>
      <c r="M10" s="97">
        <f t="shared" si="1"/>
        <v>3.0133798465653307E-2</v>
      </c>
      <c r="N10" s="162">
        <f>'CBS (Total)'!N8/'CBS ($ per kW)'!N$1</f>
        <v>67.590213383979446</v>
      </c>
      <c r="O10" s="97">
        <f t="shared" si="2"/>
        <v>1.034632768387494E-2</v>
      </c>
      <c r="P10" s="163">
        <f>'CBS (Total)'!P8/'CBS ($ per kW)'!P$1</f>
        <v>33.795106691989723</v>
      </c>
      <c r="Q10" s="98">
        <f t="shared" si="3"/>
        <v>6.0193062307011078E-3</v>
      </c>
    </row>
    <row r="11" spans="1:19" s="61" customFormat="1" ht="15" outlineLevel="2" x14ac:dyDescent="0.25">
      <c r="A11" s="85" t="s">
        <v>111</v>
      </c>
      <c r="E11" s="61" t="s">
        <v>8</v>
      </c>
      <c r="I11" s="81"/>
      <c r="J11" s="162">
        <f>'CBS (Total)'!J9/'CBS ($ per kW)'!J$1</f>
        <v>1089.2637694112389</v>
      </c>
      <c r="K11" s="97">
        <f t="shared" si="0"/>
        <v>3.0581929383158096E-2</v>
      </c>
      <c r="L11" s="162">
        <f>'CBS (Total)'!L9/'CBS ($ per kW)'!L$1</f>
        <v>231.81767400290471</v>
      </c>
      <c r="M11" s="97">
        <f t="shared" si="1"/>
        <v>2.0670291509497726E-2</v>
      </c>
      <c r="N11" s="162">
        <f>'CBS (Total)'!N9/'CBS ($ per kW)'!N$1</f>
        <v>46.363534800580943</v>
      </c>
      <c r="O11" s="97">
        <f t="shared" si="2"/>
        <v>7.0970677500960342E-3</v>
      </c>
      <c r="P11" s="163">
        <f>'CBS (Total)'!P9/'CBS ($ per kW)'!P$1</f>
        <v>23.181767400290472</v>
      </c>
      <c r="Q11" s="98">
        <f t="shared" si="3"/>
        <v>4.1289455962660489E-3</v>
      </c>
    </row>
    <row r="12" spans="1:19" s="61" customFormat="1" ht="15" outlineLevel="1" x14ac:dyDescent="0.25">
      <c r="A12" s="85" t="s">
        <v>4</v>
      </c>
      <c r="D12" s="61" t="s">
        <v>112</v>
      </c>
      <c r="I12" s="81"/>
      <c r="J12" s="162">
        <f>'CBS (Total)'!J10/'CBS ($ per kW)'!J$1</f>
        <v>2166.9422410903808</v>
      </c>
      <c r="K12" s="97">
        <f t="shared" si="0"/>
        <v>6.0838592502005066E-2</v>
      </c>
      <c r="L12" s="162">
        <f>'CBS (Total)'!L10/'CBS ($ per kW)'!L$1</f>
        <v>328.5230700480393</v>
      </c>
      <c r="M12" s="97">
        <f t="shared" si="1"/>
        <v>2.92931402003586E-2</v>
      </c>
      <c r="N12" s="162">
        <f>'CBS (Total)'!N10/'CBS ($ per kW)'!N$1</f>
        <v>65.704614009607866</v>
      </c>
      <c r="O12" s="97">
        <f t="shared" si="2"/>
        <v>1.0057690793546938E-2</v>
      </c>
      <c r="P12" s="163">
        <f>'CBS (Total)'!P10/'CBS ($ per kW)'!P$1</f>
        <v>32.852307004803933</v>
      </c>
      <c r="Q12" s="98">
        <f t="shared" si="3"/>
        <v>5.8513825107642924E-3</v>
      </c>
    </row>
    <row r="13" spans="1:19" s="61" customFormat="1" ht="15" outlineLevel="1" x14ac:dyDescent="0.25">
      <c r="A13" s="85" t="s">
        <v>6</v>
      </c>
      <c r="D13" s="61" t="s">
        <v>191</v>
      </c>
      <c r="I13" s="81"/>
      <c r="J13" s="162">
        <f>'CBS (Total)'!J11/'CBS ($ per kW)'!J$1</f>
        <v>1541.899961290761</v>
      </c>
      <c r="K13" s="97">
        <f t="shared" si="0"/>
        <v>4.3290043290043288E-2</v>
      </c>
      <c r="L13" s="162">
        <f>'CBS (Total)'!L11/'CBS ($ per kW)'!L$1</f>
        <v>296.95544115752278</v>
      </c>
      <c r="M13" s="97">
        <f t="shared" si="1"/>
        <v>2.6478375992939101E-2</v>
      </c>
      <c r="N13" s="162">
        <f>'CBS (Total)'!N11/'CBS ($ per kW)'!N$1</f>
        <v>116.4487221623899</v>
      </c>
      <c r="O13" s="97">
        <f t="shared" si="2"/>
        <v>1.7825311942958999E-2</v>
      </c>
      <c r="P13" s="163">
        <f>'CBS (Total)'!P11/'CBS ($ per kW)'!P$1</f>
        <v>75.429271795555508</v>
      </c>
      <c r="Q13" s="98">
        <f t="shared" si="3"/>
        <v>1.343484102104792E-2</v>
      </c>
    </row>
    <row r="14" spans="1:19" s="60" customFormat="1" ht="15" x14ac:dyDescent="0.25">
      <c r="A14" s="73">
        <v>1.2</v>
      </c>
      <c r="C14" s="60" t="s">
        <v>10</v>
      </c>
      <c r="I14" s="84"/>
      <c r="J14" s="161">
        <f>'CBS (Total)'!J12/'CBS ($ per kW)'!J$1</f>
        <v>1648.0840129594458</v>
      </c>
      <c r="K14" s="93">
        <f t="shared" si="0"/>
        <v>4.6271243308753672E-2</v>
      </c>
      <c r="L14" s="161">
        <f>'CBS (Total)'!L12/'CBS ($ per kW)'!L$1</f>
        <v>244.44196179197854</v>
      </c>
      <c r="M14" s="93">
        <f t="shared" si="1"/>
        <v>2.1795950757966757E-2</v>
      </c>
      <c r="N14" s="161">
        <f>'CBS (Total)'!N12/'CBS ($ per kW)'!N$1</f>
        <v>161.48363311361859</v>
      </c>
      <c r="O14" s="93">
        <f t="shared" si="2"/>
        <v>2.4719001466744123E-2</v>
      </c>
      <c r="P14" s="160">
        <f>'CBS (Total)'!P12/'CBS ($ per kW)'!P$1</f>
        <v>156.17472908054967</v>
      </c>
      <c r="Q14" s="99">
        <f t="shared" si="3"/>
        <v>2.7816557243046918E-2</v>
      </c>
    </row>
    <row r="15" spans="1:19" s="61" customFormat="1" ht="15" outlineLevel="1" x14ac:dyDescent="0.25">
      <c r="A15" s="85" t="s">
        <v>9</v>
      </c>
      <c r="D15" s="61" t="s">
        <v>12</v>
      </c>
      <c r="I15" s="81"/>
      <c r="J15" s="162">
        <f>'CBS (Total)'!J13/'CBS ($ per kW)'!J$1</f>
        <v>482.62763936990279</v>
      </c>
      <c r="K15" s="97">
        <f t="shared" si="0"/>
        <v>1.3550147172845434E-2</v>
      </c>
      <c r="L15" s="162">
        <f>'CBS (Total)'!L13/'CBS ($ per kW)'!L$1</f>
        <v>120.6569098424757</v>
      </c>
      <c r="M15" s="97">
        <f t="shared" si="1"/>
        <v>1.0758513171208454E-2</v>
      </c>
      <c r="N15" s="162">
        <f>'CBS (Total)'!N13/'CBS ($ per kW)'!N$1</f>
        <v>106.17808066137862</v>
      </c>
      <c r="O15" s="97">
        <f t="shared" si="2"/>
        <v>1.6253140216123542E-2</v>
      </c>
      <c r="P15" s="163">
        <f>'CBS (Total)'!P13/'CBS ($ per kW)'!P$1</f>
        <v>101.35180426767958</v>
      </c>
      <c r="Q15" s="98">
        <f t="shared" si="3"/>
        <v>1.8051949132205106E-2</v>
      </c>
    </row>
    <row r="16" spans="1:19" s="61" customFormat="1" ht="15" outlineLevel="1" x14ac:dyDescent="0.25">
      <c r="A16" s="85" t="s">
        <v>11</v>
      </c>
      <c r="D16" s="61" t="s">
        <v>13</v>
      </c>
      <c r="I16" s="81"/>
      <c r="J16" s="162">
        <f>'CBS (Total)'!J14/'CBS ($ per kW)'!J$1</f>
        <v>48.262763936990275</v>
      </c>
      <c r="K16" s="97">
        <f t="shared" si="0"/>
        <v>1.3550147172845435E-3</v>
      </c>
      <c r="L16" s="162">
        <f>'CBS (Total)'!L14/'CBS ($ per kW)'!L$1</f>
        <v>12.065690984247571</v>
      </c>
      <c r="M16" s="97">
        <f t="shared" si="1"/>
        <v>1.0758513171208455E-3</v>
      </c>
      <c r="N16" s="162">
        <f>'CBS (Total)'!N14/'CBS ($ per kW)'!N$1</f>
        <v>10.617808066137862</v>
      </c>
      <c r="O16" s="97">
        <f t="shared" si="2"/>
        <v>1.6253140216123541E-3</v>
      </c>
      <c r="P16" s="163">
        <f>'CBS (Total)'!P14/'CBS ($ per kW)'!P$1</f>
        <v>10.13518042676796</v>
      </c>
      <c r="Q16" s="98">
        <f t="shared" si="3"/>
        <v>1.8051949132205109E-3</v>
      </c>
    </row>
    <row r="17" spans="1:27" s="61" customFormat="1" ht="15" outlineLevel="1" x14ac:dyDescent="0.25">
      <c r="A17" s="85" t="s">
        <v>14</v>
      </c>
      <c r="D17" s="61" t="s">
        <v>15</v>
      </c>
      <c r="I17" s="81"/>
      <c r="J17" s="162">
        <f>'CBS (Total)'!J15/'CBS ($ per kW)'!J$1</f>
        <v>0</v>
      </c>
      <c r="K17" s="97">
        <f t="shared" si="0"/>
        <v>0</v>
      </c>
      <c r="L17" s="162">
        <f>'CBS (Total)'!L15/'CBS ($ per kW)'!L$1</f>
        <v>0</v>
      </c>
      <c r="M17" s="97">
        <f t="shared" si="1"/>
        <v>0</v>
      </c>
      <c r="N17" s="162">
        <f>'CBS (Total)'!N15/'CBS ($ per kW)'!N$1</f>
        <v>0</v>
      </c>
      <c r="O17" s="97">
        <f t="shared" si="2"/>
        <v>0</v>
      </c>
      <c r="P17" s="163">
        <f>'CBS (Total)'!P15/'CBS ($ per kW)'!P$1</f>
        <v>0</v>
      </c>
      <c r="Q17" s="98">
        <f t="shared" si="3"/>
        <v>0</v>
      </c>
    </row>
    <row r="18" spans="1:27" s="61" customFormat="1" ht="15" outlineLevel="1" x14ac:dyDescent="0.25">
      <c r="A18" s="85" t="s">
        <v>16</v>
      </c>
      <c r="D18" s="61" t="s">
        <v>61</v>
      </c>
      <c r="I18" s="81"/>
      <c r="J18" s="162">
        <f>'CBS (Total)'!J16/'CBS ($ per kW)'!J$1</f>
        <v>1117.1936096525528</v>
      </c>
      <c r="K18" s="97">
        <f t="shared" si="0"/>
        <v>3.1366081418623695E-2</v>
      </c>
      <c r="L18" s="162">
        <f>'CBS (Total)'!L16/'CBS ($ per kW)'!L$1</f>
        <v>111.71936096525528</v>
      </c>
      <c r="M18" s="97">
        <f t="shared" si="1"/>
        <v>9.9615862696374579E-3</v>
      </c>
      <c r="N18" s="162">
        <f>'CBS (Total)'!N16/'CBS ($ per kW)'!N$1</f>
        <v>44.687744386102111</v>
      </c>
      <c r="O18" s="97">
        <f t="shared" si="2"/>
        <v>6.8405472290082245E-3</v>
      </c>
      <c r="P18" s="163">
        <f>'CBS (Total)'!P16/'CBS ($ per kW)'!P$1</f>
        <v>44.687744386102111</v>
      </c>
      <c r="Q18" s="98">
        <f t="shared" si="3"/>
        <v>7.9594131976212998E-3</v>
      </c>
    </row>
    <row r="19" spans="1:27" s="61" customFormat="1" ht="15" outlineLevel="1" x14ac:dyDescent="0.25">
      <c r="A19" s="85" t="s">
        <v>17</v>
      </c>
      <c r="D19" s="61" t="s">
        <v>18</v>
      </c>
      <c r="I19" s="81"/>
      <c r="J19" s="162">
        <f>'CBS (Total)'!J17/'CBS ($ per kW)'!J$1</f>
        <v>0</v>
      </c>
      <c r="K19" s="97">
        <f t="shared" si="0"/>
        <v>0</v>
      </c>
      <c r="L19" s="162">
        <f>'CBS (Total)'!L17/'CBS ($ per kW)'!L$1</f>
        <v>0</v>
      </c>
      <c r="M19" s="97">
        <f t="shared" si="1"/>
        <v>0</v>
      </c>
      <c r="N19" s="162">
        <f>'CBS (Total)'!N17/'CBS ($ per kW)'!N$1</f>
        <v>0</v>
      </c>
      <c r="O19" s="97">
        <f t="shared" si="2"/>
        <v>0</v>
      </c>
      <c r="P19" s="163">
        <f>'CBS (Total)'!P17/'CBS ($ per kW)'!P$1</f>
        <v>0</v>
      </c>
      <c r="Q19" s="98">
        <f t="shared" si="3"/>
        <v>0</v>
      </c>
    </row>
    <row r="20" spans="1:27" s="60" customFormat="1" ht="15" x14ac:dyDescent="0.25">
      <c r="A20" s="73">
        <v>1.3</v>
      </c>
      <c r="C20" s="60" t="s">
        <v>19</v>
      </c>
      <c r="I20" s="84"/>
      <c r="J20" s="161">
        <f>'CBS (Total)'!J18/'CBS ($ per kW)'!J$1</f>
        <v>242.43101329460393</v>
      </c>
      <c r="K20" s="93">
        <f t="shared" si="0"/>
        <v>6.8064396678413405E-3</v>
      </c>
      <c r="L20" s="161">
        <f>'CBS (Total)'!L18/'CBS ($ per kW)'!L$1</f>
        <v>242.43101329460396</v>
      </c>
      <c r="M20" s="93">
        <f t="shared" si="1"/>
        <v>2.1616642205113282E-2</v>
      </c>
      <c r="N20" s="161">
        <f>'CBS (Total)'!N18/'CBS ($ per kW)'!N$1</f>
        <v>242.43101329460396</v>
      </c>
      <c r="O20" s="93">
        <f t="shared" si="2"/>
        <v>3.7109968717369622E-2</v>
      </c>
      <c r="P20" s="160">
        <f>'CBS (Total)'!P18/'CBS ($ per kW)'!P$1</f>
        <v>242.43101329460396</v>
      </c>
      <c r="Q20" s="99">
        <f t="shared" si="3"/>
        <v>4.3179816597095549E-2</v>
      </c>
    </row>
    <row r="21" spans="1:27" s="61" customFormat="1" ht="15" outlineLevel="1" x14ac:dyDescent="0.25">
      <c r="A21" s="85" t="s">
        <v>20</v>
      </c>
      <c r="D21" s="61" t="s">
        <v>21</v>
      </c>
      <c r="I21" s="81"/>
      <c r="J21" s="162">
        <f>'CBS (Total)'!J19/'CBS ($ per kW)'!J$1</f>
        <v>134.06323315830633</v>
      </c>
      <c r="K21" s="97">
        <f t="shared" si="0"/>
        <v>3.763929770234843E-3</v>
      </c>
      <c r="L21" s="162">
        <f>'CBS (Total)'!L19/'CBS ($ per kW)'!L$1</f>
        <v>134.06323315830633</v>
      </c>
      <c r="M21" s="97">
        <f t="shared" si="1"/>
        <v>1.1953903523564948E-2</v>
      </c>
      <c r="N21" s="162">
        <f>'CBS (Total)'!N19/'CBS ($ per kW)'!N$1</f>
        <v>134.06323315830633</v>
      </c>
      <c r="O21" s="97">
        <f t="shared" si="2"/>
        <v>2.0521641687024673E-2</v>
      </c>
      <c r="P21" s="163">
        <f>'CBS (Total)'!P19/'CBS ($ per kW)'!P$1</f>
        <v>134.06323315830633</v>
      </c>
      <c r="Q21" s="98">
        <f t="shared" si="3"/>
        <v>2.3878239592863896E-2</v>
      </c>
    </row>
    <row r="22" spans="1:27" s="61" customFormat="1" ht="15" outlineLevel="1" x14ac:dyDescent="0.25">
      <c r="A22" s="85" t="s">
        <v>22</v>
      </c>
      <c r="D22" s="61" t="s">
        <v>23</v>
      </c>
      <c r="I22" s="81"/>
      <c r="J22" s="162">
        <f>'CBS (Total)'!J20/'CBS ($ per kW)'!J$1</f>
        <v>89.375488772204221</v>
      </c>
      <c r="K22" s="97">
        <f t="shared" si="0"/>
        <v>2.5092865134898955E-3</v>
      </c>
      <c r="L22" s="162">
        <f>'CBS (Total)'!L20/'CBS ($ per kW)'!L$1</f>
        <v>89.375488772204221</v>
      </c>
      <c r="M22" s="97">
        <f t="shared" si="1"/>
        <v>7.9692690157099656E-3</v>
      </c>
      <c r="N22" s="162">
        <f>'CBS (Total)'!N20/'CBS ($ per kW)'!N$1</f>
        <v>89.375488772204221</v>
      </c>
      <c r="O22" s="97">
        <f t="shared" si="2"/>
        <v>1.3681094458016449E-2</v>
      </c>
      <c r="P22" s="163">
        <f>'CBS (Total)'!P20/'CBS ($ per kW)'!P$1</f>
        <v>89.375488772204221</v>
      </c>
      <c r="Q22" s="98">
        <f t="shared" si="3"/>
        <v>1.59188263952426E-2</v>
      </c>
    </row>
    <row r="23" spans="1:27" s="61" customFormat="1" ht="15" outlineLevel="1" x14ac:dyDescent="0.25">
      <c r="A23" s="85" t="s">
        <v>24</v>
      </c>
      <c r="D23" s="61" t="s">
        <v>25</v>
      </c>
      <c r="I23" s="81"/>
      <c r="J23" s="162">
        <f>'CBS (Total)'!J21/'CBS ($ per kW)'!J$1</f>
        <v>0</v>
      </c>
      <c r="K23" s="97">
        <f t="shared" si="0"/>
        <v>0</v>
      </c>
      <c r="L23" s="162">
        <f>'CBS (Total)'!L21/'CBS ($ per kW)'!L$1</f>
        <v>0</v>
      </c>
      <c r="M23" s="97">
        <f t="shared" si="1"/>
        <v>0</v>
      </c>
      <c r="N23" s="162">
        <f>'CBS (Total)'!N21/'CBS ($ per kW)'!N$1</f>
        <v>0</v>
      </c>
      <c r="O23" s="97">
        <f t="shared" si="2"/>
        <v>0</v>
      </c>
      <c r="P23" s="163">
        <f>'CBS (Total)'!P21/'CBS ($ per kW)'!P$1</f>
        <v>0</v>
      </c>
      <c r="Q23" s="98">
        <f t="shared" si="3"/>
        <v>0</v>
      </c>
    </row>
    <row r="24" spans="1:27" s="61" customFormat="1" ht="15" outlineLevel="1" x14ac:dyDescent="0.25">
      <c r="A24" s="85" t="s">
        <v>26</v>
      </c>
      <c r="D24" s="61" t="s">
        <v>27</v>
      </c>
      <c r="I24" s="81"/>
      <c r="J24" s="162">
        <f>'CBS (Total)'!J22/'CBS ($ per kW)'!J$1</f>
        <v>18.992291364093397</v>
      </c>
      <c r="K24" s="97">
        <f t="shared" ref="K24" si="4">J24/$J$57</f>
        <v>5.3322338411660277E-4</v>
      </c>
      <c r="L24" s="162">
        <f>'CBS (Total)'!L22/'CBS ($ per kW)'!L$1</f>
        <v>18.992291364093397</v>
      </c>
      <c r="M24" s="97">
        <f t="shared" ref="M24" si="5">L24/$L$57</f>
        <v>1.6934696658383677E-3</v>
      </c>
      <c r="N24" s="162">
        <f>'CBS (Total)'!N22/'CBS ($ per kW)'!N$1</f>
        <v>18.992291364093397</v>
      </c>
      <c r="O24" s="97">
        <f t="shared" ref="O24" si="6">N24/$N$57</f>
        <v>2.9072325723284954E-3</v>
      </c>
      <c r="P24" s="163">
        <f>'CBS (Total)'!P22/'CBS ($ per kW)'!P$1</f>
        <v>18.992291364093397</v>
      </c>
      <c r="Q24" s="98">
        <f t="shared" ref="Q24" si="7">P24/$P$57</f>
        <v>3.3827506089890522E-3</v>
      </c>
      <c r="R24" s="111"/>
    </row>
    <row r="25" spans="1:27" s="61" customFormat="1" ht="15" outlineLevel="1" x14ac:dyDescent="0.25">
      <c r="A25" s="85" t="s">
        <v>28</v>
      </c>
      <c r="D25" s="61" t="s">
        <v>18</v>
      </c>
      <c r="I25" s="81"/>
      <c r="J25" s="162">
        <f>'CBS (Total)'!J23/'CBS ($ per kW)'!J$1</f>
        <v>0</v>
      </c>
      <c r="K25" s="97">
        <f t="shared" ref="K25:K37" si="8">J25/$J$57</f>
        <v>0</v>
      </c>
      <c r="L25" s="162">
        <f>'CBS (Total)'!L23/'CBS ($ per kW)'!L$1</f>
        <v>0</v>
      </c>
      <c r="M25" s="97">
        <f t="shared" ref="M25:M37" si="9">L25/$L$57</f>
        <v>0</v>
      </c>
      <c r="N25" s="162">
        <f>'CBS (Total)'!N23/'CBS ($ per kW)'!N$1</f>
        <v>0</v>
      </c>
      <c r="O25" s="97">
        <f t="shared" ref="O25:O37" si="10">N25/$N$57</f>
        <v>0</v>
      </c>
      <c r="P25" s="163">
        <f>'CBS (Total)'!P23/'CBS ($ per kW)'!P$1</f>
        <v>0</v>
      </c>
      <c r="Q25" s="98">
        <f t="shared" ref="Q25:Q37" si="11">P25/$P$57</f>
        <v>0</v>
      </c>
      <c r="R25" s="96"/>
      <c r="S25" s="96"/>
      <c r="T25" s="96"/>
      <c r="U25" s="96"/>
    </row>
    <row r="26" spans="1:27" s="60" customFormat="1" ht="15" x14ac:dyDescent="0.25">
      <c r="A26" s="73">
        <v>1.4</v>
      </c>
      <c r="C26" s="60" t="s">
        <v>29</v>
      </c>
      <c r="I26" s="123">
        <f>SUM(I27:I30)</f>
        <v>47.222999999999999</v>
      </c>
      <c r="J26" s="161">
        <f>'CBS (Total)'!J24/'CBS ($ per kW)'!J$1</f>
        <v>3303.1610922367295</v>
      </c>
      <c r="K26" s="93">
        <f t="shared" si="8"/>
        <v>9.2738822405320664E-2</v>
      </c>
      <c r="L26" s="161">
        <f>'CBS (Total)'!L24/'CBS ($ per kW)'!L$1</f>
        <v>2316.6855003987584</v>
      </c>
      <c r="M26" s="93">
        <f t="shared" si="9"/>
        <v>0.2065699469854439</v>
      </c>
      <c r="N26" s="161">
        <f>'CBS (Total)'!N24/'CBS ($ per kW)'!N$1</f>
        <v>2033.4787272118135</v>
      </c>
      <c r="O26" s="93">
        <f t="shared" si="10"/>
        <v>0.31127342549430592</v>
      </c>
      <c r="P26" s="160">
        <f>'CBS (Total)'!P24/'CBS ($ per kW)'!P$1</f>
        <v>1966.5010420209662</v>
      </c>
      <c r="Q26" s="99">
        <f t="shared" si="11"/>
        <v>0.3502569789999414</v>
      </c>
      <c r="R26" s="102"/>
      <c r="S26" s="102"/>
      <c r="T26" s="102"/>
      <c r="U26" s="102"/>
      <c r="V26" s="103"/>
      <c r="W26" s="102"/>
      <c r="X26" s="102"/>
      <c r="Y26" s="102"/>
    </row>
    <row r="27" spans="1:27" s="61" customFormat="1" ht="15" outlineLevel="1" x14ac:dyDescent="0.25">
      <c r="A27" s="85" t="s">
        <v>30</v>
      </c>
      <c r="D27" s="61" t="str">
        <f>'1.4'!D4</f>
        <v>Pontoon</v>
      </c>
      <c r="I27" s="164">
        <f>'1.4'!E23</f>
        <v>25.28</v>
      </c>
      <c r="J27" s="162">
        <f>'CBS (Total)'!J25/'CBS ($ per kW)'!J$1</f>
        <v>1305.6695062431359</v>
      </c>
      <c r="K27" s="97">
        <f t="shared" si="8"/>
        <v>3.6657689128183436E-2</v>
      </c>
      <c r="L27" s="162">
        <f>'CBS (Total)'!L25/'CBS ($ per kW)'!L$1</f>
        <v>933.05638664472542</v>
      </c>
      <c r="M27" s="97">
        <f t="shared" si="9"/>
        <v>8.3197053847168842E-2</v>
      </c>
      <c r="N27" s="162">
        <f>'CBS (Total)'!N25/'CBS ($ per kW)'!N$1</f>
        <v>831.87289688224098</v>
      </c>
      <c r="O27" s="97">
        <f t="shared" si="10"/>
        <v>0.1273383993268766</v>
      </c>
      <c r="P27" s="163">
        <f>'CBS (Total)'!P25/'CBS ($ per kW)'!P$1</f>
        <v>810.7714175668375</v>
      </c>
      <c r="Q27" s="98">
        <f t="shared" si="11"/>
        <v>0.14440793129944998</v>
      </c>
      <c r="R27" s="163"/>
      <c r="S27" s="163"/>
      <c r="T27" s="163"/>
      <c r="U27" s="163"/>
      <c r="V27" s="96"/>
      <c r="W27" s="96"/>
      <c r="X27" s="96"/>
      <c r="Y27" s="96"/>
      <c r="AA27" s="111"/>
    </row>
    <row r="28" spans="1:27" s="61" customFormat="1" ht="15" outlineLevel="1" x14ac:dyDescent="0.25">
      <c r="A28" s="85" t="s">
        <v>31</v>
      </c>
      <c r="D28" s="61" t="str">
        <f>'1.4'!D5</f>
        <v>Rotor Frame</v>
      </c>
      <c r="I28" s="164">
        <f>'1.4'!E36</f>
        <v>11.14</v>
      </c>
      <c r="J28" s="162">
        <f>'CBS (Total)'!J26/'CBS ($ per kW)'!J$1</f>
        <v>1181.0347053374578</v>
      </c>
      <c r="K28" s="97">
        <f t="shared" si="8"/>
        <v>3.3158469942694856E-2</v>
      </c>
      <c r="L28" s="162">
        <f>'CBS (Total)'!L26/'CBS ($ per kW)'!L$1</f>
        <v>809.30617827434344</v>
      </c>
      <c r="M28" s="97">
        <f t="shared" si="9"/>
        <v>7.2162723128516085E-2</v>
      </c>
      <c r="N28" s="162">
        <f>'CBS (Total)'!N26/'CBS ($ per kW)'!N$1</f>
        <v>697.24315948069057</v>
      </c>
      <c r="O28" s="97">
        <f t="shared" si="10"/>
        <v>0.106730040373528</v>
      </c>
      <c r="P28" s="163">
        <f>'CBS (Total)'!P26/'CBS ($ per kW)'!P$1</f>
        <v>667.92135379402828</v>
      </c>
      <c r="Q28" s="98">
        <f t="shared" si="11"/>
        <v>0.11896465376342941</v>
      </c>
      <c r="R28" s="163"/>
      <c r="S28" s="163"/>
      <c r="T28" s="163"/>
      <c r="U28" s="163"/>
      <c r="V28" s="96"/>
      <c r="W28" s="96"/>
      <c r="X28" s="96"/>
      <c r="Y28" s="96"/>
    </row>
    <row r="29" spans="1:27" s="61" customFormat="1" ht="15" outlineLevel="1" x14ac:dyDescent="0.25">
      <c r="A29" s="85" t="s">
        <v>32</v>
      </c>
      <c r="D29" s="61" t="str">
        <f>'1.4'!D6</f>
        <v>Crossbridge</v>
      </c>
      <c r="I29" s="164">
        <f>'1.4'!E48</f>
        <v>6.51</v>
      </c>
      <c r="J29" s="162">
        <f>'CBS (Total)'!J27/'CBS ($ per kW)'!J$1</f>
        <v>516.16950863461545</v>
      </c>
      <c r="K29" s="97">
        <f t="shared" si="8"/>
        <v>1.4491861297595042E-2</v>
      </c>
      <c r="L29" s="162">
        <f>'CBS (Total)'!L27/'CBS ($ per kW)'!L$1</f>
        <v>363.71516271616611</v>
      </c>
      <c r="M29" s="97">
        <f t="shared" si="9"/>
        <v>3.243108392017318E-2</v>
      </c>
      <c r="N29" s="162">
        <f>'CBS (Total)'!N27/'CBS ($ per kW)'!N$1</f>
        <v>319.50096837508045</v>
      </c>
      <c r="O29" s="97">
        <f t="shared" si="10"/>
        <v>4.890740165805528E-2</v>
      </c>
      <c r="P29" s="163">
        <f>'CBS (Total)'!P27/'CBS ($ per kW)'!P$1</f>
        <v>309.03544865819447</v>
      </c>
      <c r="Q29" s="98">
        <f t="shared" si="11"/>
        <v>5.5042850391612781E-2</v>
      </c>
      <c r="R29" s="163"/>
      <c r="S29" s="163"/>
      <c r="T29" s="163"/>
      <c r="U29" s="163"/>
      <c r="V29" s="96"/>
      <c r="W29" s="96"/>
      <c r="X29" s="96"/>
      <c r="Y29" s="96"/>
    </row>
    <row r="30" spans="1:27" s="61" customFormat="1" ht="15" outlineLevel="1" x14ac:dyDescent="0.25">
      <c r="A30" s="85" t="s">
        <v>33</v>
      </c>
      <c r="D30" s="61" t="str">
        <f>'1.4'!D7</f>
        <v>Device Access (Railings, Ladders, etc)</v>
      </c>
      <c r="I30" s="164">
        <f>'1.4'!E58</f>
        <v>4.2930000000000001</v>
      </c>
      <c r="J30" s="162">
        <f>'CBS (Total)'!J28/'CBS ($ per kW)'!J$1</f>
        <v>300.28737202152098</v>
      </c>
      <c r="K30" s="97">
        <f t="shared" si="8"/>
        <v>8.4308020368473353E-3</v>
      </c>
      <c r="L30" s="162">
        <f>'CBS (Total)'!L28/'CBS ($ per kW)'!L$1</f>
        <v>210.60777276352349</v>
      </c>
      <c r="M30" s="97">
        <f t="shared" si="9"/>
        <v>1.8779086089585808E-2</v>
      </c>
      <c r="N30" s="162">
        <f>'CBS (Total)'!N28/'CBS ($ per kW)'!N$1</f>
        <v>184.86170247380122</v>
      </c>
      <c r="O30" s="97">
        <f t="shared" si="10"/>
        <v>2.8297584135845991E-2</v>
      </c>
      <c r="P30" s="163">
        <f>'CBS (Total)'!P28/'CBS ($ per kW)'!P$1</f>
        <v>178.77282200190604</v>
      </c>
      <c r="Q30" s="98">
        <f t="shared" si="11"/>
        <v>3.184154354544922E-2</v>
      </c>
    </row>
    <row r="31" spans="1:27" s="60" customFormat="1" ht="15" x14ac:dyDescent="0.25">
      <c r="A31" s="73">
        <v>1.5</v>
      </c>
      <c r="C31" s="60" t="s">
        <v>34</v>
      </c>
      <c r="I31" s="123">
        <f>SUM(I32:I44)</f>
        <v>20.458011791383221</v>
      </c>
      <c r="J31" s="161">
        <f>'CBS (Total)'!J29/'CBS ($ per kW)'!J$1</f>
        <v>9467.6954977097521</v>
      </c>
      <c r="K31" s="93">
        <f t="shared" si="8"/>
        <v>0.26581293095675423</v>
      </c>
      <c r="L31" s="161">
        <f>'CBS (Total)'!L29/'CBS ($ per kW)'!L$1</f>
        <v>3767.6011843494716</v>
      </c>
      <c r="M31" s="93">
        <f t="shared" si="9"/>
        <v>0.33594252512022288</v>
      </c>
      <c r="N31" s="161">
        <f>'CBS (Total)'!N29/'CBS ($ per kW)'!N$1</f>
        <v>2188.1108974901099</v>
      </c>
      <c r="O31" s="93">
        <f t="shared" si="10"/>
        <v>0.33494364377101299</v>
      </c>
      <c r="P31" s="160">
        <f>'CBS (Total)'!P29/'CBS ($ per kW)'!P$1</f>
        <v>1774.9209209357191</v>
      </c>
      <c r="Q31" s="99">
        <f t="shared" si="11"/>
        <v>0.31613430476082638</v>
      </c>
    </row>
    <row r="32" spans="1:27" s="61" customFormat="1" ht="15" outlineLevel="1" x14ac:dyDescent="0.25">
      <c r="A32" s="85" t="s">
        <v>35</v>
      </c>
      <c r="D32" s="61" t="s">
        <v>36</v>
      </c>
      <c r="I32" s="164">
        <f>'1.5'!L4/1000</f>
        <v>3.3560090702947845</v>
      </c>
      <c r="J32" s="162">
        <f>'CBS (Total)'!J30/'CBS ($ per kW)'!J$1</f>
        <v>1144.006256284214</v>
      </c>
      <c r="K32" s="97">
        <f t="shared" si="8"/>
        <v>3.2118867372670661E-2</v>
      </c>
      <c r="L32" s="162">
        <f>'CBS (Total)'!L30/'CBS ($ per kW)'!L$1</f>
        <v>534.79114060755569</v>
      </c>
      <c r="M32" s="97">
        <f t="shared" si="9"/>
        <v>4.7685271714513235E-2</v>
      </c>
      <c r="N32" s="162">
        <f>'CBS (Total)'!N30/'CBS ($ per kW)'!N$1</f>
        <v>314.30653971252741</v>
      </c>
      <c r="O32" s="97">
        <f t="shared" si="10"/>
        <v>4.8112267889680108E-2</v>
      </c>
      <c r="P32" s="163">
        <f>'CBS (Total)'!P30/'CBS ($ per kW)'!P$1</f>
        <v>250.00000000111612</v>
      </c>
      <c r="Q32" s="98">
        <f t="shared" si="11"/>
        <v>4.4527942207641454E-2</v>
      </c>
    </row>
    <row r="33" spans="1:18" s="61" customFormat="1" ht="15" outlineLevel="1" x14ac:dyDescent="0.25">
      <c r="A33" s="85" t="s">
        <v>37</v>
      </c>
      <c r="D33" s="61" t="s">
        <v>74</v>
      </c>
      <c r="I33" s="164">
        <f>'1.5'!L5/1000</f>
        <v>4.5006802721088439</v>
      </c>
      <c r="J33" s="162">
        <f>'CBS (Total)'!J31/'CBS ($ per kW)'!J$1</f>
        <v>1671.2624287789074</v>
      </c>
      <c r="K33" s="97">
        <f t="shared" si="8"/>
        <v>4.6921995399945855E-2</v>
      </c>
      <c r="L33" s="162">
        <f>'CBS (Total)'!L31/'CBS ($ per kW)'!L$1</f>
        <v>839.75504622812343</v>
      </c>
      <c r="M33" s="97">
        <f t="shared" si="9"/>
        <v>7.4877731720703708E-2</v>
      </c>
      <c r="N33" s="162">
        <f>'CBS (Total)'!N31/'CBS ($ per kW)'!N$1</f>
        <v>519.08210882504818</v>
      </c>
      <c r="O33" s="97">
        <f t="shared" si="10"/>
        <v>7.9458154129954925E-2</v>
      </c>
      <c r="P33" s="163">
        <f>'CBS (Total)'!P31/'CBS ($ per kW)'!P$1</f>
        <v>421.94961456821437</v>
      </c>
      <c r="Q33" s="98">
        <f t="shared" si="11"/>
        <v>7.5154192207784618E-2</v>
      </c>
    </row>
    <row r="34" spans="1:18" s="61" customFormat="1" ht="15" outlineLevel="1" x14ac:dyDescent="0.25">
      <c r="A34" s="85" t="s">
        <v>38</v>
      </c>
      <c r="D34" s="61" t="s">
        <v>40</v>
      </c>
      <c r="I34" s="164">
        <f>'1.5'!L6/1000</f>
        <v>0</v>
      </c>
      <c r="J34" s="162">
        <f>'CBS (Total)'!J32/'CBS ($ per kW)'!J$1</f>
        <v>0</v>
      </c>
      <c r="K34" s="97">
        <f t="shared" si="8"/>
        <v>0</v>
      </c>
      <c r="L34" s="162">
        <f>'CBS (Total)'!L32/'CBS ($ per kW)'!L$1</f>
        <v>0</v>
      </c>
      <c r="M34" s="97">
        <f t="shared" si="9"/>
        <v>0</v>
      </c>
      <c r="N34" s="162">
        <f>'CBS (Total)'!N32/'CBS ($ per kW)'!N$1</f>
        <v>0</v>
      </c>
      <c r="O34" s="97">
        <f t="shared" si="10"/>
        <v>0</v>
      </c>
      <c r="P34" s="163">
        <f>'CBS (Total)'!P32/'CBS ($ per kW)'!P$1</f>
        <v>0</v>
      </c>
      <c r="Q34" s="98">
        <f t="shared" si="11"/>
        <v>0</v>
      </c>
    </row>
    <row r="35" spans="1:18" s="61" customFormat="1" ht="15" outlineLevel="1" x14ac:dyDescent="0.25">
      <c r="A35" s="85" t="s">
        <v>39</v>
      </c>
      <c r="D35" s="61" t="s">
        <v>41</v>
      </c>
      <c r="I35" s="164">
        <f>'1.5'!L7/1000</f>
        <v>0.22675736961451248</v>
      </c>
      <c r="J35" s="162">
        <f>'CBS (Total)'!J33/'CBS ($ per kW)'!J$1</f>
        <v>357.50195508881689</v>
      </c>
      <c r="K35" s="97">
        <f t="shared" si="8"/>
        <v>1.0037146053959582E-2</v>
      </c>
      <c r="L35" s="162">
        <f>'CBS (Total)'!L33/'CBS ($ per kW)'!L$1</f>
        <v>280.44684009548916</v>
      </c>
      <c r="M35" s="97">
        <f t="shared" si="9"/>
        <v>2.5006367450734663E-2</v>
      </c>
      <c r="N35" s="162">
        <f>'CBS (Total)'!N33/'CBS ($ per kW)'!N$1</f>
        <v>236.67894902831202</v>
      </c>
      <c r="O35" s="97">
        <f t="shared" si="10"/>
        <v>3.6229475243859298E-2</v>
      </c>
      <c r="P35" s="163">
        <f>'CBS (Total)'!P33/'CBS ($ per kW)'!P$1</f>
        <v>220.00000000001444</v>
      </c>
      <c r="Q35" s="98">
        <f t="shared" si="11"/>
        <v>3.9184589142552108E-2</v>
      </c>
    </row>
    <row r="36" spans="1:18" s="61" customFormat="1" ht="15" outlineLevel="1" x14ac:dyDescent="0.25">
      <c r="A36" s="85" t="s">
        <v>42</v>
      </c>
      <c r="D36" s="61" t="s">
        <v>43</v>
      </c>
      <c r="I36" s="164">
        <f>'1.5'!L8/1000</f>
        <v>0.18140589569160998</v>
      </c>
      <c r="J36" s="162">
        <f>'CBS (Total)'!J34/'CBS ($ per kW)'!J$1</f>
        <v>27.929840241313819</v>
      </c>
      <c r="K36" s="97">
        <f t="shared" si="8"/>
        <v>7.8415203546559236E-4</v>
      </c>
      <c r="L36" s="162">
        <f>'CBS (Total)'!L34/'CBS ($ per kW)'!L$1</f>
        <v>24.981208552109962</v>
      </c>
      <c r="M36" s="97">
        <f t="shared" si="9"/>
        <v>2.2274784062633651E-3</v>
      </c>
      <c r="N36" s="162">
        <f>'CBS (Total)'!N34/'CBS ($ per kW)'!N$1</f>
        <v>23.107068347714598</v>
      </c>
      <c r="O36" s="97">
        <f t="shared" si="10"/>
        <v>3.5370993664567453E-3</v>
      </c>
      <c r="P36" s="163">
        <f>'CBS (Total)'!P34/'CBS ($ per kW)'!P$1</f>
        <v>22.343872193042525</v>
      </c>
      <c r="Q36" s="98">
        <f t="shared" si="11"/>
        <v>3.9797065988091303E-3</v>
      </c>
    </row>
    <row r="37" spans="1:18" s="61" customFormat="1" ht="15" outlineLevel="1" x14ac:dyDescent="0.25">
      <c r="A37" s="85" t="s">
        <v>44</v>
      </c>
      <c r="D37" s="61" t="s">
        <v>45</v>
      </c>
      <c r="I37" s="164">
        <f>'1.5'!L9/1000</f>
        <v>0</v>
      </c>
      <c r="J37" s="162">
        <f>'CBS (Total)'!J35/'CBS ($ per kW)'!J$1</f>
        <v>93.844263210814432</v>
      </c>
      <c r="K37" s="97">
        <f t="shared" si="8"/>
        <v>2.6347508391643903E-3</v>
      </c>
      <c r="L37" s="162">
        <f>'CBS (Total)'!L35/'CBS ($ per kW)'!L$1</f>
        <v>93.844263210814432</v>
      </c>
      <c r="M37" s="97">
        <f t="shared" si="9"/>
        <v>8.3677324664954648E-3</v>
      </c>
      <c r="N37" s="162">
        <f>'CBS (Total)'!N35/'CBS ($ per kW)'!N$1</f>
        <v>93.844263210814432</v>
      </c>
      <c r="O37" s="97">
        <f t="shared" si="10"/>
        <v>1.4365149180917271E-2</v>
      </c>
      <c r="P37" s="163">
        <f>'CBS (Total)'!P35/'CBS ($ per kW)'!P$1</f>
        <v>93.844263210814432</v>
      </c>
      <c r="Q37" s="98">
        <f t="shared" si="11"/>
        <v>1.6714767715004727E-2</v>
      </c>
    </row>
    <row r="38" spans="1:18" s="61" customFormat="1" ht="15" outlineLevel="1" x14ac:dyDescent="0.25">
      <c r="A38" s="85" t="s">
        <v>46</v>
      </c>
      <c r="D38" s="61" t="s">
        <v>47</v>
      </c>
      <c r="I38" s="164">
        <f>'1.5'!L10/1000</f>
        <v>0</v>
      </c>
      <c r="J38" s="162">
        <f>'CBS (Total)'!J36/'CBS ($ per kW)'!J$1</f>
        <v>0</v>
      </c>
      <c r="K38" s="97">
        <f t="shared" ref="K38:K55" si="12">J38/$J$57</f>
        <v>0</v>
      </c>
      <c r="L38" s="162">
        <f>'CBS (Total)'!L36/'CBS ($ per kW)'!L$1</f>
        <v>0</v>
      </c>
      <c r="M38" s="97">
        <f t="shared" ref="M38:M55" si="13">L38/$L$57</f>
        <v>0</v>
      </c>
      <c r="N38" s="162">
        <f>'CBS (Total)'!N36/'CBS ($ per kW)'!N$1</f>
        <v>0</v>
      </c>
      <c r="O38" s="97">
        <f t="shared" ref="O38:O55" si="14">N38/$N$57</f>
        <v>0</v>
      </c>
      <c r="P38" s="163">
        <f>'CBS (Total)'!P36/'CBS ($ per kW)'!P$1</f>
        <v>0</v>
      </c>
      <c r="Q38" s="98">
        <f t="shared" ref="Q38:Q55" si="15">P38/$P$57</f>
        <v>0</v>
      </c>
    </row>
    <row r="39" spans="1:18" s="61" customFormat="1" ht="15" outlineLevel="1" x14ac:dyDescent="0.25">
      <c r="A39" s="85" t="s">
        <v>48</v>
      </c>
      <c r="D39" s="61" t="s">
        <v>62</v>
      </c>
      <c r="I39" s="164">
        <f>'1.5'!L11/1000</f>
        <v>0</v>
      </c>
      <c r="J39" s="162">
        <f>'CBS (Total)'!J37/'CBS ($ per kW)'!J$1</f>
        <v>0</v>
      </c>
      <c r="K39" s="97">
        <f t="shared" si="12"/>
        <v>0</v>
      </c>
      <c r="L39" s="162">
        <f>'CBS (Total)'!L37/'CBS ($ per kW)'!L$1</f>
        <v>0</v>
      </c>
      <c r="M39" s="97">
        <f t="shared" si="13"/>
        <v>0</v>
      </c>
      <c r="N39" s="162">
        <f>'CBS (Total)'!N37/'CBS ($ per kW)'!N$1</f>
        <v>0</v>
      </c>
      <c r="O39" s="97">
        <f t="shared" si="14"/>
        <v>0</v>
      </c>
      <c r="P39" s="163">
        <f>'CBS (Total)'!P37/'CBS ($ per kW)'!P$1</f>
        <v>0</v>
      </c>
      <c r="Q39" s="98">
        <f t="shared" si="15"/>
        <v>0</v>
      </c>
    </row>
    <row r="40" spans="1:18" s="61" customFormat="1" ht="15" outlineLevel="1" x14ac:dyDescent="0.25">
      <c r="A40" s="85" t="s">
        <v>63</v>
      </c>
      <c r="D40" s="61" t="s">
        <v>64</v>
      </c>
      <c r="I40" s="164">
        <f>'1.5'!L12/1000</f>
        <v>1.8140589569160998E-2</v>
      </c>
      <c r="J40" s="162">
        <f>'CBS (Total)'!J38/'CBS ($ per kW)'!J$1</f>
        <v>92.727069601161872</v>
      </c>
      <c r="K40" s="97">
        <f t="shared" si="12"/>
        <v>2.6033847577457661E-3</v>
      </c>
      <c r="L40" s="162">
        <f>'CBS (Total)'!L38/'CBS ($ per kW)'!L$1</f>
        <v>45.517928248161319</v>
      </c>
      <c r="M40" s="97">
        <f t="shared" si="13"/>
        <v>4.0586588138491388E-3</v>
      </c>
      <c r="N40" s="162">
        <f>'CBS (Total)'!N38/'CBS ($ per kW)'!N$1</f>
        <v>27.681138384253618</v>
      </c>
      <c r="O40" s="97">
        <f t="shared" si="14"/>
        <v>4.2372721441068847E-3</v>
      </c>
      <c r="P40" s="163">
        <f>'CBS (Total)'!P38/'CBS ($ per kW)'!P$1</f>
        <v>22.343872193053762</v>
      </c>
      <c r="Q40" s="98">
        <f t="shared" si="15"/>
        <v>3.9797065988111321E-3</v>
      </c>
      <c r="R40" s="163"/>
    </row>
    <row r="41" spans="1:18" s="61" customFormat="1" ht="15" outlineLevel="1" x14ac:dyDescent="0.25">
      <c r="A41" s="85" t="s">
        <v>69</v>
      </c>
      <c r="D41" s="61" t="s">
        <v>66</v>
      </c>
      <c r="I41" s="164">
        <f>'1.5'!L13/1000</f>
        <v>7.679818594104308</v>
      </c>
      <c r="J41" s="162">
        <f>'CBS (Total)'!J39/'CBS ($ per kW)'!J$1</f>
        <v>3704.7065132387438</v>
      </c>
      <c r="K41" s="97">
        <f t="shared" si="12"/>
        <v>0.10401252309569761</v>
      </c>
      <c r="L41" s="162">
        <f>'CBS (Total)'!L39/'CBS ($ per kW)'!L$1</f>
        <v>914.58702267765068</v>
      </c>
      <c r="M41" s="97">
        <f t="shared" si="13"/>
        <v>8.1550211608601361E-2</v>
      </c>
      <c r="N41" s="162">
        <f>'CBS (Total)'!N39/'CBS ($ per kW)'!N$1</f>
        <v>344.01758666833888</v>
      </c>
      <c r="O41" s="97">
        <f t="shared" si="14"/>
        <v>5.2660266960040815E-2</v>
      </c>
      <c r="P41" s="163">
        <f>'CBS (Total)'!P39/'CBS ($ per kW)'!P$1</f>
        <v>225.78561056354982</v>
      </c>
      <c r="Q41" s="98">
        <f t="shared" si="15"/>
        <v>4.0215074473783606E-2</v>
      </c>
    </row>
    <row r="42" spans="1:18" s="61" customFormat="1" ht="15" outlineLevel="1" x14ac:dyDescent="0.25">
      <c r="A42" s="85" t="s">
        <v>70</v>
      </c>
      <c r="D42" s="61" t="s">
        <v>67</v>
      </c>
      <c r="I42" s="164">
        <f>'1.5'!L14/1000</f>
        <v>0</v>
      </c>
      <c r="J42" s="162">
        <f>'CBS (Total)'!J40/'CBS ($ per kW)'!J$1</f>
        <v>852.16829404535804</v>
      </c>
      <c r="K42" s="97">
        <f t="shared" si="12"/>
        <v>2.3925289101599079E-2</v>
      </c>
      <c r="L42" s="162">
        <f>'CBS (Total)'!L40/'CBS ($ per kW)'!L$1</f>
        <v>372.74510920134873</v>
      </c>
      <c r="M42" s="97">
        <f t="shared" si="13"/>
        <v>3.3236249561519195E-2</v>
      </c>
      <c r="N42" s="162">
        <f>'CBS (Total)'!N40/'CBS ($ per kW)'!N$1</f>
        <v>209.12331105086739</v>
      </c>
      <c r="O42" s="97">
        <f t="shared" si="14"/>
        <v>3.201141399239938E-2</v>
      </c>
      <c r="P42" s="163">
        <f>'CBS (Total)'!P40/'CBS ($ per kW)'!P$1</f>
        <v>163.04164025390287</v>
      </c>
      <c r="Q42" s="98">
        <f t="shared" si="15"/>
        <v>2.9039634938529773E-2</v>
      </c>
    </row>
    <row r="43" spans="1:18" s="61" customFormat="1" ht="15" outlineLevel="1" x14ac:dyDescent="0.25">
      <c r="A43" s="85" t="s">
        <v>71</v>
      </c>
      <c r="D43" s="61" t="s">
        <v>72</v>
      </c>
      <c r="I43" s="164">
        <f>'1.5'!L15/1000</f>
        <v>0.8952</v>
      </c>
      <c r="J43" s="162">
        <f>'CBS (Total)'!J41/'CBS ($ per kW)'!J$1</f>
        <v>307.80918333147133</v>
      </c>
      <c r="K43" s="97">
        <f t="shared" si="12"/>
        <v>8.6419827524592003E-3</v>
      </c>
      <c r="L43" s="162">
        <f>'CBS (Total)'!L41/'CBS ($ per kW)'!L$1</f>
        <v>177.1080355387931</v>
      </c>
      <c r="M43" s="97">
        <f t="shared" si="13"/>
        <v>1.5792043203813118E-2</v>
      </c>
      <c r="N43" s="162">
        <f>'CBS (Total)'!N41/'CBS ($ per kW)'!N$1</f>
        <v>120.35252183801322</v>
      </c>
      <c r="O43" s="97">
        <f t="shared" si="14"/>
        <v>1.8422883523725408E-2</v>
      </c>
      <c r="P43" s="163">
        <f>'CBS (Total)'!P41/'CBS ($ per kW)'!P$1</f>
        <v>101.90487467890733</v>
      </c>
      <c r="Q43" s="98">
        <f t="shared" si="15"/>
        <v>1.8150457481436288E-2</v>
      </c>
    </row>
    <row r="44" spans="1:18" s="61" customFormat="1" ht="15" outlineLevel="1" x14ac:dyDescent="0.25">
      <c r="A44" s="85" t="s">
        <v>73</v>
      </c>
      <c r="D44" s="61" t="s">
        <v>154</v>
      </c>
      <c r="I44" s="164">
        <f>'1.5'!L16/1000</f>
        <v>3.6</v>
      </c>
      <c r="J44" s="162">
        <f>'CBS (Total)'!J42/'CBS ($ per kW)'!J$1</f>
        <v>323.21148475030719</v>
      </c>
      <c r="K44" s="97">
        <f t="shared" si="12"/>
        <v>9.0744143705451964E-3</v>
      </c>
      <c r="L44" s="162">
        <f>'CBS (Total)'!L42/'CBS ($ per kW)'!L$1</f>
        <v>249.09532422642204</v>
      </c>
      <c r="M44" s="97">
        <f t="shared" si="13"/>
        <v>2.2210873211282751E-2</v>
      </c>
      <c r="N44" s="162">
        <f>'CBS (Total)'!N42/'CBS ($ per kW)'!N$1</f>
        <v>207.63341341394573</v>
      </c>
      <c r="O44" s="97">
        <f t="shared" si="14"/>
        <v>3.1783348886591088E-2</v>
      </c>
      <c r="P44" s="163">
        <f>'CBS (Total)'!P42/'CBS ($ per kW)'!P$1</f>
        <v>191.97486314386711</v>
      </c>
      <c r="Q44" s="98">
        <f t="shared" si="15"/>
        <v>3.4192982445407312E-2</v>
      </c>
    </row>
    <row r="45" spans="1:18" s="61" customFormat="1" ht="15" outlineLevel="1" x14ac:dyDescent="0.25">
      <c r="A45" s="85" t="s">
        <v>155</v>
      </c>
      <c r="D45" s="61" t="s">
        <v>18</v>
      </c>
      <c r="I45" s="165"/>
      <c r="J45" s="162">
        <f>'CBS (Total)'!J43/'CBS ($ per kW)'!J$1</f>
        <v>892.52820913864366</v>
      </c>
      <c r="K45" s="97">
        <f t="shared" si="12"/>
        <v>2.5058425177501304E-2</v>
      </c>
      <c r="L45" s="162">
        <f>'CBS (Total)'!L43/'CBS ($ per kW)'!L$1</f>
        <v>234.72926576300341</v>
      </c>
      <c r="M45" s="97">
        <f t="shared" si="13"/>
        <v>2.0929906962446915E-2</v>
      </c>
      <c r="N45" s="162">
        <f>'CBS (Total)'!N43/'CBS ($ per kW)'!N$1</f>
        <v>92.283997010274206</v>
      </c>
      <c r="O45" s="97">
        <f t="shared" si="14"/>
        <v>1.4126312453281048E-2</v>
      </c>
      <c r="P45" s="163">
        <f>'CBS (Total)'!P43/'CBS ($ per kW)'!P$1</f>
        <v>61.732310129236375</v>
      </c>
      <c r="Q45" s="98">
        <f t="shared" si="15"/>
        <v>1.0995250951066257E-2</v>
      </c>
    </row>
    <row r="46" spans="1:18" s="60" customFormat="1" ht="15" x14ac:dyDescent="0.25">
      <c r="A46" s="73">
        <v>1.6</v>
      </c>
      <c r="C46" s="60" t="s">
        <v>77</v>
      </c>
      <c r="I46" s="84"/>
      <c r="J46" s="161">
        <f>'CBS (Total)'!J44/'CBS ($ per kW)'!J$1</f>
        <v>1277.0856589946482</v>
      </c>
      <c r="K46" s="93">
        <f t="shared" si="12"/>
        <v>3.5855175336207488E-2</v>
      </c>
      <c r="L46" s="161">
        <f>'CBS (Total)'!L44/'CBS ($ per kW)'!L$1</f>
        <v>608.4286684748231</v>
      </c>
      <c r="M46" s="93">
        <f t="shared" si="13"/>
        <v>5.4251247210566685E-2</v>
      </c>
      <c r="N46" s="161">
        <f>'CBS (Total)'!N44/'CBS ($ per kW)'!N$1</f>
        <v>422.15896247019236</v>
      </c>
      <c r="O46" s="93">
        <f t="shared" si="14"/>
        <v>6.4621706926531894E-2</v>
      </c>
      <c r="P46" s="160">
        <f>'CBS (Total)'!P44/'CBS ($ per kW)'!P$1</f>
        <v>374.1421962956685</v>
      </c>
      <c r="Q46" s="99">
        <f t="shared" si="15"/>
        <v>6.6639128376076773E-2</v>
      </c>
    </row>
    <row r="47" spans="1:18" s="60" customFormat="1" ht="15" x14ac:dyDescent="0.25">
      <c r="A47" s="73">
        <v>1.7</v>
      </c>
      <c r="C47" s="60" t="s">
        <v>49</v>
      </c>
      <c r="I47" s="84"/>
      <c r="J47" s="161">
        <f>'CBS (Total)'!J45/'CBS ($ per kW)'!J$1</f>
        <v>5917.7186906490888</v>
      </c>
      <c r="K47" s="93">
        <f t="shared" si="12"/>
        <v>0.16614456497037874</v>
      </c>
      <c r="L47" s="161">
        <f>'CBS (Total)'!L45/'CBS ($ per kW)'!L$1</f>
        <v>783.32029940788732</v>
      </c>
      <c r="M47" s="93">
        <f t="shared" si="13"/>
        <v>6.984566212956303E-2</v>
      </c>
      <c r="N47" s="161">
        <f>'CBS (Total)'!N45/'CBS ($ per kW)'!N$1</f>
        <v>347.43268908501841</v>
      </c>
      <c r="O47" s="93">
        <f t="shared" si="14"/>
        <v>5.3183031527689516E-2</v>
      </c>
      <c r="P47" s="160">
        <f>'CBS (Total)'!P45/'CBS ($ per kW)'!P$1</f>
        <v>300.778125349123</v>
      </c>
      <c r="Q47" s="99">
        <f t="shared" si="15"/>
        <v>5.3572123931234769E-2</v>
      </c>
    </row>
    <row r="48" spans="1:18" s="61" customFormat="1" ht="15" outlineLevel="1" x14ac:dyDescent="0.25">
      <c r="A48" s="85" t="s">
        <v>78</v>
      </c>
      <c r="D48" s="61" t="s">
        <v>50</v>
      </c>
      <c r="I48" s="81"/>
      <c r="J48" s="162">
        <f>'CBS (Total)'!J46/'CBS ($ per kW)'!J$1</f>
        <v>0</v>
      </c>
      <c r="K48" s="97">
        <f t="shared" si="12"/>
        <v>0</v>
      </c>
      <c r="L48" s="162">
        <f>'CBS (Total)'!L46/'CBS ($ per kW)'!L$1</f>
        <v>0</v>
      </c>
      <c r="M48" s="97">
        <f t="shared" si="13"/>
        <v>0</v>
      </c>
      <c r="N48" s="162">
        <f>'CBS (Total)'!N46/'CBS ($ per kW)'!N$1</f>
        <v>0</v>
      </c>
      <c r="O48" s="97">
        <f t="shared" si="14"/>
        <v>0</v>
      </c>
      <c r="P48" s="163">
        <f>'CBS (Total)'!P46/'CBS ($ per kW)'!P$1</f>
        <v>0</v>
      </c>
      <c r="Q48" s="98">
        <f t="shared" si="15"/>
        <v>0</v>
      </c>
    </row>
    <row r="49" spans="1:19" s="61" customFormat="1" ht="15" outlineLevel="1" x14ac:dyDescent="0.25">
      <c r="A49" s="85" t="s">
        <v>79</v>
      </c>
      <c r="D49" s="61" t="s">
        <v>51</v>
      </c>
      <c r="I49" s="81"/>
      <c r="J49" s="162">
        <f>'CBS (Total)'!J47/'CBS ($ per kW)'!J$1</f>
        <v>1899.2291364093396</v>
      </c>
      <c r="K49" s="97">
        <f t="shared" si="12"/>
        <v>5.3322338411660272E-2</v>
      </c>
      <c r="L49" s="162">
        <f>'CBS (Total)'!L47/'CBS ($ per kW)'!L$1</f>
        <v>189.92291364093396</v>
      </c>
      <c r="M49" s="97">
        <f t="shared" si="13"/>
        <v>1.6934696658383677E-2</v>
      </c>
      <c r="N49" s="162">
        <f>'CBS (Total)'!N47/'CBS ($ per kW)'!N$1</f>
        <v>37.984582728186794</v>
      </c>
      <c r="O49" s="97">
        <f t="shared" si="14"/>
        <v>5.8144651446569908E-3</v>
      </c>
      <c r="P49" s="163">
        <f>'CBS (Total)'!P47/'CBS ($ per kW)'!P$1</f>
        <v>18.992291364093397</v>
      </c>
      <c r="Q49" s="98">
        <f t="shared" si="15"/>
        <v>3.3827506089890522E-3</v>
      </c>
    </row>
    <row r="50" spans="1:19" s="61" customFormat="1" ht="15" outlineLevel="1" x14ac:dyDescent="0.25">
      <c r="A50" s="85" t="s">
        <v>80</v>
      </c>
      <c r="D50" s="61" t="s">
        <v>75</v>
      </c>
      <c r="I50" s="81"/>
      <c r="J50" s="162">
        <f>'CBS (Total)'!J48/'CBS ($ per kW)'!J$1</f>
        <v>2401.0166461847839</v>
      </c>
      <c r="K50" s="97">
        <f t="shared" si="12"/>
        <v>6.7410413880835116E-2</v>
      </c>
      <c r="L50" s="162">
        <f>'CBS (Total)'!L48/'CBS ($ per kW)'!L$1</f>
        <v>373.13149368785611</v>
      </c>
      <c r="M50" s="97">
        <f t="shared" si="13"/>
        <v>3.3270701981962143E-2</v>
      </c>
      <c r="N50" s="162">
        <f>'CBS (Total)'!N48/'CBS ($ per kW)'!N$1</f>
        <v>193.73366104345882</v>
      </c>
      <c r="O50" s="97">
        <f t="shared" si="14"/>
        <v>2.9655653388238633E-2</v>
      </c>
      <c r="P50" s="163">
        <f>'CBS (Total)'!P48/'CBS ($ per kW)'!P$1</f>
        <v>179.14031951737235</v>
      </c>
      <c r="Q50" s="98">
        <f t="shared" si="15"/>
        <v>3.1906999177969471E-2</v>
      </c>
    </row>
    <row r="51" spans="1:19" s="61" customFormat="1" ht="15" outlineLevel="1" x14ac:dyDescent="0.25">
      <c r="A51" s="85" t="s">
        <v>81</v>
      </c>
      <c r="D51" s="61" t="s">
        <v>12</v>
      </c>
      <c r="I51" s="81"/>
      <c r="J51" s="162">
        <f>'CBS (Total)'!J49/'CBS ($ per kW)'!J$1</f>
        <v>1217.2941570774215</v>
      </c>
      <c r="K51" s="97">
        <f t="shared" si="12"/>
        <v>3.4176482313732374E-2</v>
      </c>
      <c r="L51" s="162">
        <f>'CBS (Total)'!L49/'CBS ($ per kW)'!L$1</f>
        <v>121.72941570774215</v>
      </c>
      <c r="M51" s="97">
        <f t="shared" si="13"/>
        <v>1.0854144399396973E-2</v>
      </c>
      <c r="N51" s="162">
        <f>'CBS (Total)'!N49/'CBS ($ per kW)'!N$1</f>
        <v>43.990615573678916</v>
      </c>
      <c r="O51" s="97">
        <f t="shared" si="14"/>
        <v>6.733834692235696E-3</v>
      </c>
      <c r="P51" s="163">
        <f>'CBS (Total)'!P49/'CBS ($ per kW)'!P$1</f>
        <v>34.273265556921011</v>
      </c>
      <c r="Q51" s="98">
        <f t="shared" si="15"/>
        <v>6.104471951915655E-3</v>
      </c>
    </row>
    <row r="52" spans="1:19" s="61" customFormat="1" ht="15" outlineLevel="1" x14ac:dyDescent="0.25">
      <c r="A52" s="85" t="s">
        <v>82</v>
      </c>
      <c r="D52" s="61" t="s">
        <v>52</v>
      </c>
      <c r="I52" s="81"/>
      <c r="J52" s="162">
        <f>'CBS (Total)'!J50/'CBS ($ per kW)'!J$1</f>
        <v>385.8786727739917</v>
      </c>
      <c r="K52" s="97">
        <f t="shared" si="12"/>
        <v>1.0833844521992623E-2</v>
      </c>
      <c r="L52" s="162">
        <f>'CBS (Total)'!L50/'CBS ($ per kW)'!L$1</f>
        <v>84.236398167802477</v>
      </c>
      <c r="M52" s="97">
        <f t="shared" si="13"/>
        <v>7.5110360473066426E-3</v>
      </c>
      <c r="N52" s="162">
        <f>'CBS (Total)'!N50/'CBS ($ per kW)'!N$1</f>
        <v>57.423751536141211</v>
      </c>
      <c r="O52" s="97">
        <f t="shared" si="14"/>
        <v>8.7901031892755679E-3</v>
      </c>
      <c r="P52" s="163">
        <f>'CBS (Total)'!P50/'CBS ($ per kW)'!P$1</f>
        <v>54.072170707183552</v>
      </c>
      <c r="Q52" s="98">
        <f t="shared" si="15"/>
        <v>9.6308899691217725E-3</v>
      </c>
    </row>
    <row r="53" spans="1:19" s="61" customFormat="1" ht="15" outlineLevel="1" x14ac:dyDescent="0.25">
      <c r="A53" s="85" t="s">
        <v>83</v>
      </c>
      <c r="D53" s="61" t="s">
        <v>53</v>
      </c>
      <c r="I53" s="81"/>
      <c r="J53" s="162">
        <f>'CBS (Total)'!J51/'CBS ($ per kW)'!J$1</f>
        <v>14.300078203552674</v>
      </c>
      <c r="K53" s="97">
        <f t="shared" si="12"/>
        <v>4.0148584215838321E-4</v>
      </c>
      <c r="L53" s="162">
        <f>'CBS (Total)'!L51/'CBS ($ per kW)'!L$1</f>
        <v>14.300078203552676</v>
      </c>
      <c r="M53" s="97">
        <f t="shared" si="13"/>
        <v>1.2750830425135946E-3</v>
      </c>
      <c r="N53" s="162">
        <f>'CBS (Total)'!N51/'CBS ($ per kW)'!N$1</f>
        <v>14.300078203552676</v>
      </c>
      <c r="O53" s="97">
        <f t="shared" si="14"/>
        <v>2.1889751132826321E-3</v>
      </c>
      <c r="P53" s="163">
        <f>'CBS (Total)'!P51/'CBS ($ per kW)'!P$1</f>
        <v>14.300078203552676</v>
      </c>
      <c r="Q53" s="98">
        <f t="shared" si="15"/>
        <v>2.5470122232388159E-3</v>
      </c>
    </row>
    <row r="54" spans="1:19" s="84" customFormat="1" ht="15" x14ac:dyDescent="0.25">
      <c r="A54" s="101">
        <v>1.8</v>
      </c>
      <c r="C54" s="84" t="s">
        <v>164</v>
      </c>
      <c r="J54" s="161">
        <f>'CBS (Total)'!J52/'CBS ($ per kW)'!J$1</f>
        <v>5917.7186906490888</v>
      </c>
      <c r="K54" s="93">
        <f t="shared" si="12"/>
        <v>0.16614456497037874</v>
      </c>
      <c r="L54" s="161">
        <f>'CBS (Total)'!L52/'CBS ($ per kW)'!L$1</f>
        <v>783.32029940788732</v>
      </c>
      <c r="M54" s="93">
        <f t="shared" si="13"/>
        <v>6.984566212956303E-2</v>
      </c>
      <c r="N54" s="161">
        <f>'CBS (Total)'!N52/'CBS ($ per kW)'!N$1</f>
        <v>347.43268908501841</v>
      </c>
      <c r="O54" s="93">
        <f t="shared" si="14"/>
        <v>5.3183031527689516E-2</v>
      </c>
      <c r="P54" s="160">
        <f>'CBS (Total)'!P52/'CBS ($ per kW)'!P$1</f>
        <v>300.778125349123</v>
      </c>
      <c r="Q54" s="99">
        <f t="shared" si="15"/>
        <v>5.3572123931234769E-2</v>
      </c>
    </row>
    <row r="55" spans="1:19" s="84" customFormat="1" ht="15" x14ac:dyDescent="0.25">
      <c r="A55" s="658">
        <v>1.9</v>
      </c>
      <c r="C55" s="84" t="s">
        <v>161</v>
      </c>
      <c r="J55" s="161">
        <f>'CBS (Total)'!J53/'CBS ($ per kW)'!J$1</f>
        <v>3237.9899187105984</v>
      </c>
      <c r="K55" s="93">
        <f t="shared" si="12"/>
        <v>9.0909090909090912E-2</v>
      </c>
      <c r="L55" s="161">
        <f>'CBS (Total)'!L53/'CBS ($ per kW)'!L$1</f>
        <v>1019.5470146408285</v>
      </c>
      <c r="M55" s="93">
        <f t="shared" si="13"/>
        <v>9.0909090909090925E-2</v>
      </c>
      <c r="N55" s="161">
        <f>'CBS (Total)'!N53/'CBS ($ per kW)'!N$1</f>
        <v>593.88848302818849</v>
      </c>
      <c r="O55" s="93">
        <f t="shared" si="14"/>
        <v>9.0909090909090898E-2</v>
      </c>
      <c r="P55" s="160">
        <f>'CBS (Total)'!P53/'CBS ($ per kW)'!P$1</f>
        <v>510.4047391499256</v>
      </c>
      <c r="Q55" s="99">
        <f t="shared" si="15"/>
        <v>9.0909090909090925E-2</v>
      </c>
    </row>
    <row r="56" spans="1:19" ht="15" outlineLevel="1" x14ac:dyDescent="0.25">
      <c r="I56" s="62"/>
      <c r="J56" s="161"/>
      <c r="K56" s="93"/>
      <c r="L56" s="161"/>
      <c r="M56" s="93"/>
      <c r="N56" s="161"/>
      <c r="O56" s="93"/>
      <c r="P56" s="160"/>
      <c r="Q56" s="99"/>
    </row>
    <row r="57" spans="1:19" ht="15" outlineLevel="1" x14ac:dyDescent="0.25">
      <c r="A57" s="663" t="s">
        <v>552</v>
      </c>
      <c r="B57" s="167"/>
      <c r="C57" s="167"/>
      <c r="D57" s="167"/>
      <c r="E57" s="167"/>
      <c r="F57" s="167"/>
      <c r="G57" s="167"/>
      <c r="H57" s="167"/>
      <c r="I57" s="171">
        <f>I31+I26</f>
        <v>67.681011791383213</v>
      </c>
      <c r="J57" s="168">
        <f>'CBS (Total)'!J55/'CBS ($ per kW)'!J$1</f>
        <v>35617.889105816583</v>
      </c>
      <c r="K57" s="172">
        <f t="shared" ref="K57" si="16">J57/$J$57</f>
        <v>1</v>
      </c>
      <c r="L57" s="168">
        <f>'CBS (Total)'!L55/'CBS ($ per kW)'!L$1</f>
        <v>11215.017161049111</v>
      </c>
      <c r="M57" s="172">
        <f t="shared" ref="M57" si="17">L57/$L$57</f>
        <v>1</v>
      </c>
      <c r="N57" s="168">
        <f>'CBS (Total)'!N55/'CBS ($ per kW)'!N$1</f>
        <v>6532.7733133100746</v>
      </c>
      <c r="O57" s="172">
        <f t="shared" ref="O57" si="18">N57/$N$57</f>
        <v>1</v>
      </c>
      <c r="P57" s="170">
        <f>'CBS (Total)'!P55/'CBS ($ per kW)'!P$1</f>
        <v>5614.4521306491806</v>
      </c>
      <c r="Q57" s="173">
        <f t="shared" ref="Q57" si="19">P57/$P$57</f>
        <v>1</v>
      </c>
    </row>
    <row r="58" spans="1:19" ht="15" outlineLevel="1" x14ac:dyDescent="0.25">
      <c r="I58" s="62"/>
      <c r="J58" s="161"/>
      <c r="K58" s="91"/>
      <c r="L58" s="161"/>
      <c r="M58" s="91"/>
      <c r="N58" s="161"/>
      <c r="O58" s="91"/>
      <c r="P58" s="160"/>
      <c r="Q58" s="62"/>
    </row>
    <row r="59" spans="1:19" s="60" customFormat="1" ht="15" x14ac:dyDescent="0.25">
      <c r="A59" s="73">
        <v>2</v>
      </c>
      <c r="B59" s="60" t="s">
        <v>60</v>
      </c>
      <c r="I59" s="84"/>
      <c r="J59" s="161">
        <f>'CBS (Total)'!J57/'CBS ($ per kW)'!J$1</f>
        <v>2243.0868369529035</v>
      </c>
      <c r="K59" s="99">
        <f>J59/$J$57</f>
        <v>6.2976411383868225E-2</v>
      </c>
      <c r="L59" s="161">
        <f>'CBS (Total)'!L57/'CBS ($ per kW)'!L$1</f>
        <v>570.4778555398542</v>
      </c>
      <c r="M59" s="99">
        <f>L59/$L$57</f>
        <v>5.0867319001631273E-2</v>
      </c>
      <c r="N59" s="161">
        <f>'CBS (Total)'!N57/'CBS ($ per kW)'!N$1</f>
        <v>251.44205691939965</v>
      </c>
      <c r="O59" s="99">
        <f>N59/$N$57</f>
        <v>3.8489328323562645E-2</v>
      </c>
      <c r="P59" s="160">
        <f>'CBS (Total)'!P57/'CBS ($ per kW)'!P$1</f>
        <v>190.00535444757207</v>
      </c>
      <c r="Q59" s="99">
        <f>P59/$P$57</f>
        <v>3.3842189767784588E-2</v>
      </c>
    </row>
    <row r="60" spans="1:19" ht="15" outlineLevel="1" x14ac:dyDescent="0.25">
      <c r="A60" s="39">
        <v>2.1</v>
      </c>
      <c r="C60" s="72" t="s">
        <v>54</v>
      </c>
      <c r="I60" s="62"/>
      <c r="J60" s="161">
        <f>'CBS (Total)'!J58/'CBS ($ per kW)'!J$1</f>
        <v>437.12351931688534</v>
      </c>
      <c r="K60" s="98">
        <f t="shared" ref="K60:K65" si="20">J60/$J$57</f>
        <v>1.2272583532905123E-2</v>
      </c>
      <c r="L60" s="161">
        <f>'CBS (Total)'!L58/'CBS ($ per kW)'!L$1</f>
        <v>159.25817255435047</v>
      </c>
      <c r="M60" s="98">
        <f t="shared" ref="M60:M65" si="21">L60/$L$57</f>
        <v>1.4200439488177532E-2</v>
      </c>
      <c r="N60" s="161">
        <f>'CBS (Total)'!N58/'CBS ($ per kW)'!N$1</f>
        <v>53.950959226653566</v>
      </c>
      <c r="O60" s="98">
        <f t="shared" ref="O60:O65" si="22">N60/$N$57</f>
        <v>8.2585077790365401E-3</v>
      </c>
      <c r="P60" s="160">
        <f>'CBS (Total)'!P58/'CBS ($ per kW)'!P$1</f>
        <v>24.074740134883154</v>
      </c>
      <c r="Q60" s="94">
        <f t="shared" ref="Q60:Q65" si="23">P60/$P$57</f>
        <v>4.2879945495411095E-3</v>
      </c>
    </row>
    <row r="61" spans="1:19" ht="15" outlineLevel="1" x14ac:dyDescent="0.25">
      <c r="A61" s="39">
        <v>2.2000000000000002</v>
      </c>
      <c r="C61" s="72" t="s">
        <v>55</v>
      </c>
      <c r="I61" s="62"/>
      <c r="J61" s="161">
        <f>'CBS (Total)'!J59/'CBS ($ per kW)'!J$1</f>
        <v>1424.4218523070047</v>
      </c>
      <c r="K61" s="98">
        <f t="shared" si="20"/>
        <v>3.9991753808745208E-2</v>
      </c>
      <c r="L61" s="161">
        <f>'CBS (Total)'!L59/'CBS ($ per kW)'!L$1</f>
        <v>194.39168807954417</v>
      </c>
      <c r="M61" s="98">
        <f t="shared" si="21"/>
        <v>1.7333160109169174E-2</v>
      </c>
      <c r="N61" s="161">
        <f>'CBS (Total)'!N59/'CBS ($ per kW)'!N$1</f>
        <v>38.878337615908841</v>
      </c>
      <c r="O61" s="98">
        <f t="shared" si="22"/>
        <v>5.951276089237156E-3</v>
      </c>
      <c r="P61" s="160">
        <f>'CBS (Total)'!P59/'CBS ($ per kW)'!P$1</f>
        <v>19.43916880795442</v>
      </c>
      <c r="Q61" s="94">
        <f t="shared" si="23"/>
        <v>3.4623447409652657E-3</v>
      </c>
      <c r="R61" s="4"/>
      <c r="S61" s="4"/>
    </row>
    <row r="62" spans="1:19" ht="15" outlineLevel="1" x14ac:dyDescent="0.25">
      <c r="A62" s="39">
        <v>2.2999999999999998</v>
      </c>
      <c r="C62" s="72" t="s">
        <v>56</v>
      </c>
      <c r="I62" s="62"/>
      <c r="J62" s="161">
        <f>'CBS (Total)'!J60/'CBS ($ per kW)'!J$1</f>
        <v>79.097307563400733</v>
      </c>
      <c r="K62" s="98">
        <f t="shared" si="20"/>
        <v>2.2207185644385575E-3</v>
      </c>
      <c r="L62" s="161">
        <f>'CBS (Total)'!L60/'CBS ($ per kW)'!L$1</f>
        <v>79.097307563400733</v>
      </c>
      <c r="M62" s="98">
        <f t="shared" si="21"/>
        <v>7.0528030789033195E-3</v>
      </c>
      <c r="N62" s="161">
        <f>'CBS (Total)'!N60/'CBS ($ per kW)'!N$1</f>
        <v>79.097307563400733</v>
      </c>
      <c r="O62" s="98">
        <f t="shared" si="22"/>
        <v>1.2107768595344558E-2</v>
      </c>
      <c r="P62" s="160">
        <f>'CBS (Total)'!P60/'CBS ($ per kW)'!P$1</f>
        <v>79.097307563400733</v>
      </c>
      <c r="Q62" s="94">
        <f t="shared" si="23"/>
        <v>1.4088161359789698E-2</v>
      </c>
      <c r="R62" s="66"/>
      <c r="S62" s="66"/>
    </row>
    <row r="63" spans="1:19" ht="15" outlineLevel="1" x14ac:dyDescent="0.25">
      <c r="A63" s="39">
        <v>2.4</v>
      </c>
      <c r="C63" s="72" t="s">
        <v>57</v>
      </c>
      <c r="I63" s="62"/>
      <c r="J63" s="161">
        <f>'CBS (Total)'!J61/'CBS ($ per kW)'!J$1</f>
        <v>104.56932186347893</v>
      </c>
      <c r="K63" s="98">
        <f t="shared" si="20"/>
        <v>2.9358652207831775E-3</v>
      </c>
      <c r="L63" s="161">
        <f>'CBS (Total)'!L61/'CBS ($ per kW)'!L$1</f>
        <v>58.987822589654783</v>
      </c>
      <c r="M63" s="98">
        <f t="shared" si="21"/>
        <v>5.2597175503685768E-3</v>
      </c>
      <c r="N63" s="161">
        <f>'CBS (Total)'!N61/'CBS ($ per kW)'!N$1</f>
        <v>33.783934755893199</v>
      </c>
      <c r="O63" s="98">
        <f t="shared" si="22"/>
        <v>5.1714537051302184E-3</v>
      </c>
      <c r="P63" s="160">
        <f>'CBS (Total)'!P61/'CBS ($ per kW)'!P$1</f>
        <v>30.298290693777233</v>
      </c>
      <c r="Q63" s="94">
        <f t="shared" si="23"/>
        <v>5.3964821479872407E-3</v>
      </c>
    </row>
    <row r="64" spans="1:19" ht="15" outlineLevel="1" x14ac:dyDescent="0.25">
      <c r="A64" s="2">
        <v>2.5</v>
      </c>
      <c r="C64" s="72" t="s">
        <v>58</v>
      </c>
      <c r="I64" s="62"/>
      <c r="J64" s="161">
        <f>'CBS (Total)'!J62/'CBS ($ per kW)'!J$1</f>
        <v>179.88621445648528</v>
      </c>
      <c r="K64" s="98">
        <f t="shared" si="20"/>
        <v>5.0504456881783301E-3</v>
      </c>
      <c r="L64" s="161">
        <f>'CBS (Total)'!L62/'CBS ($ per kW)'!L$1</f>
        <v>71.584422502639967</v>
      </c>
      <c r="M64" s="98">
        <f>L64/$L$57</f>
        <v>6.3829079772842355E-3</v>
      </c>
      <c r="N64" s="161">
        <f>'CBS (Total)'!N62/'CBS ($ per kW)'!N$1</f>
        <v>41.574107052312087</v>
      </c>
      <c r="O64" s="98">
        <f t="shared" si="22"/>
        <v>6.3639292316492466E-3</v>
      </c>
      <c r="P64" s="160">
        <f>'CBS (Total)'!P62/'CBS ($ per kW)'!P$1</f>
        <v>33.723497497778659</v>
      </c>
      <c r="Q64" s="94">
        <f t="shared" si="23"/>
        <v>6.0065517904557006E-3</v>
      </c>
    </row>
    <row r="65" spans="1:17" ht="15" outlineLevel="1" x14ac:dyDescent="0.25">
      <c r="A65" s="39">
        <v>2.6</v>
      </c>
      <c r="C65" s="72" t="s">
        <v>59</v>
      </c>
      <c r="I65" s="62"/>
      <c r="J65" s="161">
        <f>'CBS (Total)'!J63/'CBS ($ per kW)'!J$1</f>
        <v>17.98862144564853</v>
      </c>
      <c r="K65" s="98">
        <f t="shared" si="20"/>
        <v>5.0504456881783307E-4</v>
      </c>
      <c r="L65" s="161">
        <f>'CBS (Total)'!L63/'CBS ($ per kW)'!L$1</f>
        <v>7.1584422502639962</v>
      </c>
      <c r="M65" s="98">
        <f t="shared" si="21"/>
        <v>6.3829079772842348E-4</v>
      </c>
      <c r="N65" s="161">
        <f>'CBS (Total)'!N63/'CBS ($ per kW)'!N$1</f>
        <v>4.157410705231209</v>
      </c>
      <c r="O65" s="98">
        <f t="shared" si="22"/>
        <v>6.3639292316492477E-4</v>
      </c>
      <c r="P65" s="160">
        <f>'CBS (Total)'!P63/'CBS ($ per kW)'!P$1</f>
        <v>3.3723497497778663</v>
      </c>
      <c r="Q65" s="94">
        <f t="shared" si="23"/>
        <v>6.0065517904557011E-4</v>
      </c>
    </row>
    <row r="66" spans="1:17" ht="15" x14ac:dyDescent="0.25">
      <c r="I66" s="62"/>
      <c r="J66" s="161"/>
      <c r="K66" s="81"/>
      <c r="L66" s="161"/>
      <c r="M66" s="81"/>
      <c r="N66" s="161"/>
      <c r="O66" s="81"/>
      <c r="P66" s="160"/>
      <c r="Q66" s="62"/>
    </row>
    <row r="67" spans="1:17" s="60" customFormat="1" ht="15" x14ac:dyDescent="0.25">
      <c r="A67" s="166" t="s">
        <v>251</v>
      </c>
      <c r="B67" s="167"/>
      <c r="C67" s="167"/>
      <c r="D67" s="167"/>
      <c r="E67" s="167"/>
      <c r="F67" s="167"/>
      <c r="G67" s="167"/>
      <c r="H67" s="167"/>
      <c r="I67" s="167"/>
      <c r="J67" s="168">
        <f>'CBS (Total)'!J65/'CBS ($ per kW)'!J$1</f>
        <v>2243.0868369529035</v>
      </c>
      <c r="K67" s="169">
        <f t="shared" ref="K67:Q67" si="24">SUM(K60:K65)</f>
        <v>6.2976411383868225E-2</v>
      </c>
      <c r="L67" s="168">
        <f>'CBS (Total)'!L65/'CBS ($ per kW)'!L$1</f>
        <v>570.4778555398542</v>
      </c>
      <c r="M67" s="169">
        <f t="shared" si="24"/>
        <v>5.0867319001631259E-2</v>
      </c>
      <c r="N67" s="168">
        <f>'CBS (Total)'!N65/'CBS ($ per kW)'!N$1</f>
        <v>251.44205691939965</v>
      </c>
      <c r="O67" s="169">
        <f t="shared" si="24"/>
        <v>3.8489328323562645E-2</v>
      </c>
      <c r="P67" s="170">
        <f>'CBS (Total)'!P65/'CBS ($ per kW)'!P$1</f>
        <v>190.00535444757207</v>
      </c>
      <c r="Q67" s="169">
        <f t="shared" si="24"/>
        <v>3.3842189767784588E-2</v>
      </c>
    </row>
    <row r="68" spans="1:17" ht="15" x14ac:dyDescent="0.25">
      <c r="J68" s="4"/>
      <c r="K68" s="91"/>
      <c r="L68" s="4"/>
      <c r="M68" s="91"/>
      <c r="N68" s="4"/>
      <c r="O68" s="91"/>
      <c r="P68" s="4"/>
    </row>
    <row r="69" spans="1:17" x14ac:dyDescent="0.3">
      <c r="J69" s="62"/>
      <c r="K69" s="81"/>
      <c r="L69" s="62"/>
      <c r="M69" s="81"/>
      <c r="N69" s="62"/>
      <c r="O69" s="81"/>
      <c r="P69" s="62"/>
    </row>
  </sheetData>
  <mergeCells count="1">
    <mergeCell ref="J3:P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67"/>
  <sheetViews>
    <sheetView zoomScale="70" zoomScaleNormal="70" workbookViewId="0">
      <pane xSplit="8" ySplit="2" topLeftCell="I3" activePane="bottomRight" state="frozen"/>
      <selection pane="topRight" activeCell="I1" sqref="I1"/>
      <selection pane="bottomLeft" activeCell="A3" sqref="A3"/>
      <selection pane="bottomRight" activeCell="J54" sqref="J54"/>
    </sheetView>
  </sheetViews>
  <sheetFormatPr defaultRowHeight="14.4" outlineLevelRow="2" x14ac:dyDescent="0.3"/>
  <cols>
    <col min="1" max="1" width="8.44140625" style="1" customWidth="1"/>
    <col min="2" max="2" width="3.88671875" customWidth="1"/>
    <col min="3" max="4" width="4.109375" customWidth="1"/>
    <col min="8" max="8" width="20.33203125" customWidth="1"/>
    <col min="9" max="9" width="20.33203125" style="12" customWidth="1"/>
    <col min="10" max="10" width="19.5546875" bestFit="1" customWidth="1"/>
    <col min="11" max="11" width="10.109375" style="61" customWidth="1"/>
    <col min="12" max="12" width="20.44140625" bestFit="1" customWidth="1"/>
    <col min="13" max="13" width="10.109375" style="61" customWidth="1"/>
    <col min="14" max="14" width="22.6640625" bestFit="1" customWidth="1"/>
    <col min="15" max="15" width="11.5546875" style="61" customWidth="1"/>
    <col min="16" max="16" width="22.6640625" customWidth="1"/>
    <col min="17" max="17" width="11" customWidth="1"/>
    <col min="18" max="18" width="17.109375" bestFit="1" customWidth="1"/>
    <col min="19" max="19" width="19.6640625" customWidth="1"/>
    <col min="20" max="22" width="13.33203125" bestFit="1" customWidth="1"/>
    <col min="23" max="23" width="15" bestFit="1" customWidth="1"/>
    <col min="24" max="24" width="11.109375" bestFit="1" customWidth="1"/>
  </cols>
  <sheetData>
    <row r="1" spans="1:19" ht="15" x14ac:dyDescent="0.25">
      <c r="A1" s="3" t="s">
        <v>360</v>
      </c>
      <c r="I1" s="60"/>
      <c r="J1" s="676" t="s">
        <v>68</v>
      </c>
      <c r="K1" s="676"/>
      <c r="L1" s="676"/>
      <c r="M1" s="676"/>
      <c r="N1" s="676"/>
      <c r="O1" s="676"/>
      <c r="P1" s="676"/>
      <c r="Q1" s="60"/>
    </row>
    <row r="2" spans="1:19" ht="15" x14ac:dyDescent="0.25">
      <c r="I2" s="60" t="s">
        <v>118</v>
      </c>
      <c r="J2" s="60">
        <v>1</v>
      </c>
      <c r="K2" s="104" t="s">
        <v>165</v>
      </c>
      <c r="L2" s="60">
        <v>10</v>
      </c>
      <c r="M2" s="104" t="s">
        <v>165</v>
      </c>
      <c r="N2" s="60">
        <v>50</v>
      </c>
      <c r="O2" s="104" t="s">
        <v>166</v>
      </c>
      <c r="P2" s="60">
        <v>100</v>
      </c>
      <c r="Q2" s="104" t="s">
        <v>166</v>
      </c>
      <c r="R2" s="60"/>
      <c r="S2" s="73"/>
    </row>
    <row r="3" spans="1:19" s="60" customFormat="1" ht="15" x14ac:dyDescent="0.25">
      <c r="A3" s="73">
        <v>1</v>
      </c>
      <c r="B3" s="60" t="s">
        <v>0</v>
      </c>
      <c r="J3" s="95"/>
      <c r="K3" s="95"/>
      <c r="L3" s="95"/>
      <c r="M3" s="95"/>
      <c r="N3" s="95"/>
      <c r="O3" s="95"/>
      <c r="P3" s="95"/>
    </row>
    <row r="4" spans="1:19" s="60" customFormat="1" ht="15" x14ac:dyDescent="0.25">
      <c r="A4" s="73">
        <v>1.1000000000000001</v>
      </c>
      <c r="C4" s="60" t="s">
        <v>107</v>
      </c>
      <c r="J4" s="95">
        <f>J5+J10+J11</f>
        <v>941978.46553513606</v>
      </c>
      <c r="K4" s="93">
        <f t="shared" ref="K4:K21" si="0">J4/$J$55</f>
        <v>0.29546173244565288</v>
      </c>
      <c r="L4" s="411">
        <f>L5+L10+L11</f>
        <v>1998365.8153800988</v>
      </c>
      <c r="M4" s="93">
        <f t="shared" ref="M4:M21" si="1">L4/$L$55</f>
        <v>0.19906893468203252</v>
      </c>
      <c r="N4" s="411">
        <f>N5+N10+N11</f>
        <v>2433727.2560377759</v>
      </c>
      <c r="O4" s="93">
        <f t="shared" ref="O4:O21" si="2">N4/$N$55</f>
        <v>8.3240131187254998E-2</v>
      </c>
      <c r="P4" s="411">
        <f>P5+P10+P11</f>
        <v>2587728.4118420174</v>
      </c>
      <c r="Q4" s="99">
        <f t="shared" ref="Q4:Q21" si="3">P4/$P$55</f>
        <v>5.149199918268739E-2</v>
      </c>
      <c r="R4" s="126"/>
      <c r="S4" s="411"/>
    </row>
    <row r="5" spans="1:19" ht="15" outlineLevel="1" x14ac:dyDescent="0.25">
      <c r="A5" s="1" t="s">
        <v>2</v>
      </c>
      <c r="D5" t="s">
        <v>1</v>
      </c>
      <c r="I5" s="84"/>
      <c r="J5" s="91">
        <f>SUM(J6:J9)</f>
        <v>610000</v>
      </c>
      <c r="K5" s="97">
        <f t="shared" si="0"/>
        <v>0.19133309665360451</v>
      </c>
      <c r="L5" s="409">
        <f>SUM(L6:L9)</f>
        <v>1438500</v>
      </c>
      <c r="M5" s="97">
        <f t="shared" si="1"/>
        <v>0.14329741848873481</v>
      </c>
      <c r="N5" s="409">
        <f>SUM(N6:N9)</f>
        <v>1618500</v>
      </c>
      <c r="O5" s="97">
        <f t="shared" si="2"/>
        <v>5.5357128450749062E-2</v>
      </c>
      <c r="P5" s="409">
        <f>SUM(P6:P9)</f>
        <v>1618500</v>
      </c>
      <c r="Q5" s="98">
        <f t="shared" si="3"/>
        <v>3.2205775650875179E-2</v>
      </c>
      <c r="R5" s="65"/>
    </row>
    <row r="6" spans="1:19" ht="15" outlineLevel="2" x14ac:dyDescent="0.25">
      <c r="A6" s="1" t="s">
        <v>108</v>
      </c>
      <c r="E6" t="s">
        <v>3</v>
      </c>
      <c r="I6" s="62"/>
      <c r="J6" s="231">
        <f>'1.1'!E5</f>
        <v>95000</v>
      </c>
      <c r="K6" s="97">
        <f t="shared" si="0"/>
        <v>2.9797777347692508E-2</v>
      </c>
      <c r="L6" s="231">
        <f>'1.1'!F5</f>
        <v>171000</v>
      </c>
      <c r="M6" s="97">
        <f t="shared" si="1"/>
        <v>1.703431252108005E-2</v>
      </c>
      <c r="N6" s="231">
        <f>'1.1'!G5</f>
        <v>181000</v>
      </c>
      <c r="O6" s="97">
        <f t="shared" si="2"/>
        <v>6.1906952422524442E-3</v>
      </c>
      <c r="P6" s="231">
        <f>'1.1'!H5</f>
        <v>181000</v>
      </c>
      <c r="Q6" s="94">
        <f t="shared" si="3"/>
        <v>3.6016344719236376E-3</v>
      </c>
    </row>
    <row r="7" spans="1:19" ht="15" outlineLevel="2" x14ac:dyDescent="0.25">
      <c r="A7" s="1" t="s">
        <v>109</v>
      </c>
      <c r="E7" t="s">
        <v>5</v>
      </c>
      <c r="I7" s="62"/>
      <c r="J7" s="449">
        <f>'1.1'!E6</f>
        <v>290000</v>
      </c>
      <c r="K7" s="97">
        <f t="shared" si="0"/>
        <v>9.0961636114008704E-2</v>
      </c>
      <c r="L7" s="449">
        <f>'1.1'!F6</f>
        <v>757500</v>
      </c>
      <c r="M7" s="97">
        <f t="shared" si="1"/>
        <v>7.5459015992503736E-2</v>
      </c>
      <c r="N7" s="449">
        <f>'1.1'!G6</f>
        <v>927500</v>
      </c>
      <c r="O7" s="97">
        <f t="shared" si="2"/>
        <v>3.1723037774525648E-2</v>
      </c>
      <c r="P7" s="449">
        <f>'1.1'!H6</f>
        <v>927500</v>
      </c>
      <c r="Q7" s="94">
        <f t="shared" si="3"/>
        <v>1.8455889351984386E-2</v>
      </c>
      <c r="R7" s="65"/>
    </row>
    <row r="8" spans="1:19" ht="15" outlineLevel="2" x14ac:dyDescent="0.25">
      <c r="A8" s="1" t="s">
        <v>110</v>
      </c>
      <c r="E8" t="s">
        <v>7</v>
      </c>
      <c r="I8" s="62"/>
      <c r="J8" s="449">
        <f>'1.1'!E7</f>
        <v>127500</v>
      </c>
      <c r="K8" s="97">
        <f t="shared" si="0"/>
        <v>3.9991753808745208E-2</v>
      </c>
      <c r="L8" s="449">
        <f>'1.1'!F7</f>
        <v>302500</v>
      </c>
      <c r="M8" s="97">
        <f t="shared" si="1"/>
        <v>3.0133798465653307E-2</v>
      </c>
      <c r="N8" s="449">
        <f>'1.1'!G7</f>
        <v>302500</v>
      </c>
      <c r="O8" s="97">
        <f t="shared" si="2"/>
        <v>1.034632768387494E-2</v>
      </c>
      <c r="P8" s="449">
        <f>'1.1'!H7</f>
        <v>302500</v>
      </c>
      <c r="Q8" s="94">
        <f t="shared" si="3"/>
        <v>6.019306230701107E-3</v>
      </c>
    </row>
    <row r="9" spans="1:19" ht="15" outlineLevel="2" x14ac:dyDescent="0.25">
      <c r="A9" s="1" t="s">
        <v>111</v>
      </c>
      <c r="E9" t="s">
        <v>8</v>
      </c>
      <c r="I9" s="62"/>
      <c r="J9" s="449">
        <f>'1.1'!E8</f>
        <v>97500</v>
      </c>
      <c r="K9" s="97">
        <f t="shared" si="0"/>
        <v>3.05819293831581E-2</v>
      </c>
      <c r="L9" s="449">
        <f>'1.1'!F8</f>
        <v>207500</v>
      </c>
      <c r="M9" s="97">
        <f t="shared" si="1"/>
        <v>2.0670291509497722E-2</v>
      </c>
      <c r="N9" s="449">
        <f>'1.1'!G8</f>
        <v>207500</v>
      </c>
      <c r="O9" s="97">
        <f t="shared" si="2"/>
        <v>7.0970677500960333E-3</v>
      </c>
      <c r="P9" s="449">
        <f>'1.1'!H8</f>
        <v>207500</v>
      </c>
      <c r="Q9" s="94">
        <f t="shared" si="3"/>
        <v>4.1289455962660489E-3</v>
      </c>
    </row>
    <row r="10" spans="1:19" s="12" customFormat="1" ht="15" outlineLevel="1" x14ac:dyDescent="0.25">
      <c r="A10" s="1" t="s">
        <v>4</v>
      </c>
      <c r="D10" s="12" t="s">
        <v>112</v>
      </c>
      <c r="I10" s="62"/>
      <c r="J10" s="449">
        <f>'1.1'!E9</f>
        <v>193963</v>
      </c>
      <c r="K10" s="97">
        <f t="shared" si="0"/>
        <v>6.0838592502005073E-2</v>
      </c>
      <c r="L10" s="449">
        <f>'1.1'!F9</f>
        <v>294061</v>
      </c>
      <c r="M10" s="97">
        <f t="shared" si="1"/>
        <v>2.92931402003586E-2</v>
      </c>
      <c r="N10" s="449">
        <f>'1.1'!G9</f>
        <v>294061</v>
      </c>
      <c r="O10" s="97">
        <f t="shared" si="2"/>
        <v>1.0057690793546939E-2</v>
      </c>
      <c r="P10" s="449">
        <f>'1.1'!H9</f>
        <v>294061</v>
      </c>
      <c r="Q10" s="94">
        <f t="shared" si="3"/>
        <v>5.8513825107642916E-3</v>
      </c>
    </row>
    <row r="11" spans="1:19" s="12" customFormat="1" ht="15" outlineLevel="1" x14ac:dyDescent="0.25">
      <c r="A11" s="1" t="s">
        <v>6</v>
      </c>
      <c r="D11" s="12" t="s">
        <v>191</v>
      </c>
      <c r="I11" s="62"/>
      <c r="J11" s="449">
        <f>'1.1'!E10</f>
        <v>138015.46553513603</v>
      </c>
      <c r="K11" s="97">
        <f t="shared" si="0"/>
        <v>4.3290043290043288E-2</v>
      </c>
      <c r="L11" s="449">
        <f>'1.1'!F10</f>
        <v>265804.81538009865</v>
      </c>
      <c r="M11" s="97">
        <f t="shared" si="1"/>
        <v>2.6478375992939097E-2</v>
      </c>
      <c r="N11" s="449">
        <f>'1.1'!G10</f>
        <v>521166.25603777601</v>
      </c>
      <c r="O11" s="97">
        <f t="shared" si="2"/>
        <v>1.7825311942958999E-2</v>
      </c>
      <c r="P11" s="449">
        <f>'1.1'!H10</f>
        <v>675167.41184201732</v>
      </c>
      <c r="Q11" s="94">
        <f t="shared" si="3"/>
        <v>1.3434841021047918E-2</v>
      </c>
    </row>
    <row r="12" spans="1:19" s="60" customFormat="1" ht="15" x14ac:dyDescent="0.25">
      <c r="A12" s="73">
        <v>1.2</v>
      </c>
      <c r="C12" s="60" t="s">
        <v>10</v>
      </c>
      <c r="I12" s="84"/>
      <c r="J12" s="71">
        <f>SUM(J13:J17)</f>
        <v>147520</v>
      </c>
      <c r="K12" s="93">
        <f t="shared" si="0"/>
        <v>4.6271243308753672E-2</v>
      </c>
      <c r="L12" s="407">
        <f>SUM(L13:L17)</f>
        <v>218800</v>
      </c>
      <c r="M12" s="93">
        <f t="shared" si="1"/>
        <v>2.1795950757966757E-2</v>
      </c>
      <c r="N12" s="407">
        <f>SUM(N13:N17)</f>
        <v>722720</v>
      </c>
      <c r="O12" s="93">
        <f t="shared" si="2"/>
        <v>2.4719001466744123E-2</v>
      </c>
      <c r="P12" s="407">
        <f>SUM(P13:P17)</f>
        <v>1397920</v>
      </c>
      <c r="Q12" s="99">
        <f t="shared" si="3"/>
        <v>2.7816557243046915E-2</v>
      </c>
    </row>
    <row r="13" spans="1:19" ht="15" outlineLevel="1" x14ac:dyDescent="0.25">
      <c r="A13" s="1" t="s">
        <v>9</v>
      </c>
      <c r="D13" t="str">
        <f>'1.2'!C4</f>
        <v>Riverbed Cables</v>
      </c>
      <c r="I13" s="62"/>
      <c r="J13" s="4">
        <f>'1.2'!E4</f>
        <v>43200</v>
      </c>
      <c r="K13" s="97">
        <f t="shared" si="0"/>
        <v>1.3550147172845434E-2</v>
      </c>
      <c r="L13" s="4">
        <f>'1.2'!F4</f>
        <v>108000</v>
      </c>
      <c r="M13" s="97">
        <f t="shared" si="1"/>
        <v>1.0758513171208453E-2</v>
      </c>
      <c r="N13" s="4">
        <f>'1.2'!G4</f>
        <v>475200</v>
      </c>
      <c r="O13" s="97">
        <f t="shared" si="2"/>
        <v>1.6253140216123542E-2</v>
      </c>
      <c r="P13" s="4">
        <f>'1.2'!H4</f>
        <v>907200</v>
      </c>
      <c r="Q13" s="94">
        <f t="shared" si="3"/>
        <v>1.8051949132205106E-2</v>
      </c>
    </row>
    <row r="14" spans="1:19" ht="15" outlineLevel="1" x14ac:dyDescent="0.25">
      <c r="A14" s="1" t="s">
        <v>11</v>
      </c>
      <c r="D14" s="493" t="str">
        <f>'1.2'!C5</f>
        <v>Terminations and Connectors</v>
      </c>
      <c r="I14" s="62"/>
      <c r="J14" s="449">
        <f>'1.2'!E5</f>
        <v>4320</v>
      </c>
      <c r="K14" s="97">
        <f t="shared" si="0"/>
        <v>1.3550147172845435E-3</v>
      </c>
      <c r="L14" s="449">
        <f>'1.2'!F5</f>
        <v>10800</v>
      </c>
      <c r="M14" s="97">
        <f t="shared" si="1"/>
        <v>1.0758513171208453E-3</v>
      </c>
      <c r="N14" s="449">
        <f>'1.2'!G5</f>
        <v>47520</v>
      </c>
      <c r="O14" s="97">
        <f t="shared" si="2"/>
        <v>1.6253140216123544E-3</v>
      </c>
      <c r="P14" s="449">
        <f>'1.2'!H5</f>
        <v>90720</v>
      </c>
      <c r="Q14" s="94">
        <f t="shared" si="3"/>
        <v>1.8051949132205105E-3</v>
      </c>
    </row>
    <row r="15" spans="1:19" ht="15" outlineLevel="1" x14ac:dyDescent="0.25">
      <c r="A15" s="1" t="s">
        <v>14</v>
      </c>
      <c r="D15" s="493" t="str">
        <f>'1.2'!C6</f>
        <v>Dockside Improvements</v>
      </c>
      <c r="I15" s="62"/>
      <c r="J15" s="449">
        <f>'1.2'!E6</f>
        <v>0</v>
      </c>
      <c r="K15" s="97">
        <f t="shared" si="0"/>
        <v>0</v>
      </c>
      <c r="L15" s="449">
        <f>'1.2'!F6</f>
        <v>0</v>
      </c>
      <c r="M15" s="97">
        <f t="shared" si="1"/>
        <v>0</v>
      </c>
      <c r="N15" s="449">
        <f>'1.2'!G6</f>
        <v>0</v>
      </c>
      <c r="O15" s="97">
        <f t="shared" si="2"/>
        <v>0</v>
      </c>
      <c r="P15" s="449">
        <f>'1.2'!H6</f>
        <v>0</v>
      </c>
      <c r="Q15" s="94">
        <f t="shared" si="3"/>
        <v>0</v>
      </c>
    </row>
    <row r="16" spans="1:19" ht="15" outlineLevel="1" x14ac:dyDescent="0.25">
      <c r="A16" s="1" t="s">
        <v>16</v>
      </c>
      <c r="D16" s="493" t="str">
        <f>'1.2'!C7</f>
        <v>Dedicated O&amp;M Vessel</v>
      </c>
      <c r="I16" s="62"/>
      <c r="J16" s="449">
        <f>'1.2'!E7</f>
        <v>100000</v>
      </c>
      <c r="K16" s="97">
        <f t="shared" si="0"/>
        <v>3.1366081418623695E-2</v>
      </c>
      <c r="L16" s="449">
        <f>'1.2'!F7</f>
        <v>100000</v>
      </c>
      <c r="M16" s="97">
        <f t="shared" si="1"/>
        <v>9.9615862696374562E-3</v>
      </c>
      <c r="N16" s="449">
        <f>'1.2'!G7</f>
        <v>200000</v>
      </c>
      <c r="O16" s="97">
        <f t="shared" si="2"/>
        <v>6.8405472290082254E-3</v>
      </c>
      <c r="P16" s="449">
        <f>'1.2'!H7</f>
        <v>400000</v>
      </c>
      <c r="Q16" s="94">
        <f t="shared" si="3"/>
        <v>7.9594131976212981E-3</v>
      </c>
    </row>
    <row r="17" spans="1:27" ht="15" outlineLevel="1" x14ac:dyDescent="0.25">
      <c r="A17" s="1" t="s">
        <v>17</v>
      </c>
      <c r="D17" s="493" t="str">
        <f>'1.2'!C8</f>
        <v>Other</v>
      </c>
      <c r="I17" s="62"/>
      <c r="J17" s="449">
        <f>'1.2'!E8</f>
        <v>0</v>
      </c>
      <c r="K17" s="97">
        <f t="shared" si="0"/>
        <v>0</v>
      </c>
      <c r="L17" s="449">
        <f>'1.2'!F8</f>
        <v>0</v>
      </c>
      <c r="M17" s="97">
        <f t="shared" si="1"/>
        <v>0</v>
      </c>
      <c r="N17" s="449">
        <f>'1.2'!G8</f>
        <v>0</v>
      </c>
      <c r="O17" s="97">
        <f t="shared" si="2"/>
        <v>0</v>
      </c>
      <c r="P17" s="449">
        <f>'1.2'!H8</f>
        <v>0</v>
      </c>
      <c r="Q17" s="94">
        <f t="shared" si="3"/>
        <v>0</v>
      </c>
      <c r="W17" s="46"/>
    </row>
    <row r="18" spans="1:27" s="60" customFormat="1" ht="15" x14ac:dyDescent="0.25">
      <c r="A18" s="73">
        <v>1.3</v>
      </c>
      <c r="C18" s="60" t="s">
        <v>19</v>
      </c>
      <c r="I18" s="84"/>
      <c r="J18" s="71">
        <f>SUM(J19:J23)</f>
        <v>21700</v>
      </c>
      <c r="K18" s="93">
        <f t="shared" si="0"/>
        <v>6.8064396678413413E-3</v>
      </c>
      <c r="L18" s="407">
        <f>SUM(L19:L23)</f>
        <v>217000</v>
      </c>
      <c r="M18" s="93">
        <f t="shared" si="1"/>
        <v>2.1616642205113282E-2</v>
      </c>
      <c r="N18" s="407">
        <f>SUM(N19:N23)</f>
        <v>1085000</v>
      </c>
      <c r="O18" s="93">
        <f t="shared" si="2"/>
        <v>3.7109968717369622E-2</v>
      </c>
      <c r="P18" s="407">
        <f>SUM(P19:P23)</f>
        <v>2170000</v>
      </c>
      <c r="Q18" s="99">
        <f t="shared" si="3"/>
        <v>4.3179816597095542E-2</v>
      </c>
    </row>
    <row r="19" spans="1:27" ht="15" outlineLevel="1" x14ac:dyDescent="0.25">
      <c r="A19" s="1" t="s">
        <v>20</v>
      </c>
      <c r="D19" t="str">
        <f>'1.3'!C4</f>
        <v>Mooring lines/chain</v>
      </c>
      <c r="I19" s="62"/>
      <c r="J19" s="4">
        <f>'1.3'!E4</f>
        <v>12000</v>
      </c>
      <c r="K19" s="97">
        <f t="shared" si="0"/>
        <v>3.763929770234843E-3</v>
      </c>
      <c r="L19" s="4">
        <f>'1.3'!F4</f>
        <v>120000</v>
      </c>
      <c r="M19" s="97">
        <f t="shared" si="1"/>
        <v>1.1953903523564948E-2</v>
      </c>
      <c r="N19" s="4">
        <f>'1.3'!G4</f>
        <v>600000</v>
      </c>
      <c r="O19" s="97">
        <f t="shared" si="2"/>
        <v>2.0521641687024677E-2</v>
      </c>
      <c r="P19" s="4">
        <f>'1.3'!H4</f>
        <v>1200000</v>
      </c>
      <c r="Q19" s="94">
        <f t="shared" si="3"/>
        <v>2.3878239592863896E-2</v>
      </c>
    </row>
    <row r="20" spans="1:27" ht="15" outlineLevel="1" x14ac:dyDescent="0.25">
      <c r="A20" s="1" t="s">
        <v>22</v>
      </c>
      <c r="D20" s="493" t="str">
        <f>'1.3'!C5</f>
        <v>Anchors</v>
      </c>
      <c r="I20" s="62"/>
      <c r="J20" s="449">
        <f>'1.3'!E5</f>
        <v>8000</v>
      </c>
      <c r="K20" s="97">
        <f t="shared" si="0"/>
        <v>2.5092865134898955E-3</v>
      </c>
      <c r="L20" s="449">
        <f>'1.3'!F5</f>
        <v>80000</v>
      </c>
      <c r="M20" s="97">
        <f t="shared" si="1"/>
        <v>7.9692690157099656E-3</v>
      </c>
      <c r="N20" s="449">
        <f>'1.3'!G5</f>
        <v>400000</v>
      </c>
      <c r="O20" s="97">
        <f t="shared" si="2"/>
        <v>1.3681094458016451E-2</v>
      </c>
      <c r="P20" s="449">
        <f>'1.3'!H5</f>
        <v>800000</v>
      </c>
      <c r="Q20" s="94">
        <f t="shared" si="3"/>
        <v>1.5918826395242596E-2</v>
      </c>
    </row>
    <row r="21" spans="1:27" ht="15" outlineLevel="1" x14ac:dyDescent="0.25">
      <c r="A21" s="1" t="s">
        <v>24</v>
      </c>
      <c r="D21" s="493" t="str">
        <f>'1.3'!C6</f>
        <v>Buoyancy Tanks</v>
      </c>
      <c r="I21" s="62"/>
      <c r="J21" s="449">
        <f>'1.3'!E6</f>
        <v>0</v>
      </c>
      <c r="K21" s="97">
        <f t="shared" si="0"/>
        <v>0</v>
      </c>
      <c r="L21" s="449">
        <f>'1.3'!F6</f>
        <v>0</v>
      </c>
      <c r="M21" s="97">
        <f t="shared" si="1"/>
        <v>0</v>
      </c>
      <c r="N21" s="449">
        <f>'1.3'!G6</f>
        <v>0</v>
      </c>
      <c r="O21" s="97">
        <f t="shared" si="2"/>
        <v>0</v>
      </c>
      <c r="P21" s="449">
        <f>'1.3'!H6</f>
        <v>0</v>
      </c>
      <c r="Q21" s="94">
        <f t="shared" si="3"/>
        <v>0</v>
      </c>
    </row>
    <row r="22" spans="1:27" ht="15" outlineLevel="1" x14ac:dyDescent="0.25">
      <c r="A22" s="1" t="s">
        <v>26</v>
      </c>
      <c r="D22" s="523" t="str">
        <f>'1.3'!C7</f>
        <v>Connecting Hardware (shackles etc.)</v>
      </c>
      <c r="I22" s="62"/>
      <c r="J22" s="449">
        <f>'1.3'!E7</f>
        <v>1700</v>
      </c>
      <c r="K22" s="97">
        <f t="shared" ref="K22" si="4">J22/$J$55</f>
        <v>5.3322338411660277E-4</v>
      </c>
      <c r="L22" s="449">
        <f>'1.3'!F7</f>
        <v>17000</v>
      </c>
      <c r="M22" s="97">
        <f t="shared" ref="M22" si="5">L22/$L$55</f>
        <v>1.6934696658383677E-3</v>
      </c>
      <c r="N22" s="449">
        <f>'1.3'!G7</f>
        <v>85000</v>
      </c>
      <c r="O22" s="97">
        <f t="shared" ref="O22" si="6">N22/$N$55</f>
        <v>2.9072325723284958E-3</v>
      </c>
      <c r="P22" s="449">
        <f>'1.3'!H7</f>
        <v>170000</v>
      </c>
      <c r="Q22" s="94">
        <f t="shared" ref="Q22" si="7">P22/$P$55</f>
        <v>3.3827506089890518E-3</v>
      </c>
      <c r="R22" s="19"/>
    </row>
    <row r="23" spans="1:27" ht="15" outlineLevel="1" x14ac:dyDescent="0.25">
      <c r="A23" s="1" t="s">
        <v>28</v>
      </c>
      <c r="D23" s="523" t="str">
        <f>'1.3'!C8</f>
        <v>Other</v>
      </c>
      <c r="I23" s="62"/>
      <c r="J23" s="449">
        <f>'1.3'!E8</f>
        <v>0</v>
      </c>
      <c r="K23" s="97">
        <f t="shared" ref="K23:K35" si="8">J23/$J$55</f>
        <v>0</v>
      </c>
      <c r="L23" s="449">
        <f>'1.3'!F8</f>
        <v>0</v>
      </c>
      <c r="M23" s="97">
        <f t="shared" ref="M23:M35" si="9">L23/$L$55</f>
        <v>0</v>
      </c>
      <c r="N23" s="449">
        <f>'1.3'!G8</f>
        <v>0</v>
      </c>
      <c r="O23" s="97">
        <f t="shared" ref="O23:O35" si="10">N23/$N$55</f>
        <v>0</v>
      </c>
      <c r="P23" s="449">
        <f>'1.3'!H8</f>
        <v>0</v>
      </c>
      <c r="Q23" s="94">
        <f t="shared" ref="Q23:Q35" si="11">P23/$P$55</f>
        <v>0</v>
      </c>
      <c r="R23" s="9"/>
      <c r="S23" s="9"/>
      <c r="T23" s="9"/>
      <c r="U23" s="9"/>
    </row>
    <row r="24" spans="1:27" s="60" customFormat="1" ht="15" x14ac:dyDescent="0.25">
      <c r="A24" s="73">
        <v>1.4</v>
      </c>
      <c r="C24" s="60" t="s">
        <v>29</v>
      </c>
      <c r="I24" s="123">
        <f>SUM(I25:I28)</f>
        <v>47.222999999999999</v>
      </c>
      <c r="J24" s="71">
        <f>SUM(J25:J28)</f>
        <v>295665.94936610968</v>
      </c>
      <c r="K24" s="93">
        <f t="shared" si="8"/>
        <v>9.2738822405320664E-2</v>
      </c>
      <c r="L24" s="407">
        <f>SUM(L25:L28)</f>
        <v>2073665.1914069287</v>
      </c>
      <c r="M24" s="93">
        <f t="shared" si="9"/>
        <v>0.2065699469854439</v>
      </c>
      <c r="N24" s="407">
        <f>SUM(N25:N28)</f>
        <v>9100834.043636471</v>
      </c>
      <c r="O24" s="93">
        <f t="shared" si="10"/>
        <v>0.31127342549430592</v>
      </c>
      <c r="P24" s="407">
        <f>SUM(P25:P28)</f>
        <v>17602150.827129669</v>
      </c>
      <c r="Q24" s="99">
        <f t="shared" si="11"/>
        <v>0.3502569789999414</v>
      </c>
      <c r="R24" s="102"/>
      <c r="S24" s="102"/>
      <c r="T24" s="102"/>
      <c r="U24" s="102"/>
      <c r="V24" s="103"/>
      <c r="W24" s="102"/>
      <c r="X24" s="102"/>
      <c r="Y24" s="102"/>
    </row>
    <row r="25" spans="1:27" s="7" customFormat="1" ht="15" outlineLevel="1" x14ac:dyDescent="0.25">
      <c r="A25" s="1" t="s">
        <v>30</v>
      </c>
      <c r="D25" s="7" t="str">
        <f>'1.4'!D4</f>
        <v>Pontoon</v>
      </c>
      <c r="I25" s="124">
        <f>'1.4'!E23</f>
        <v>25.28</v>
      </c>
      <c r="J25" s="91">
        <f>'1.4'!E4</f>
        <v>116870.47750382309</v>
      </c>
      <c r="K25" s="97">
        <f t="shared" si="8"/>
        <v>3.6657689128183436E-2</v>
      </c>
      <c r="L25" s="91">
        <f>'1.4'!F4</f>
        <v>835178.77168569376</v>
      </c>
      <c r="M25" s="97">
        <f t="shared" si="9"/>
        <v>8.3197053847168828E-2</v>
      </c>
      <c r="N25" s="91">
        <f>'1.4'!G4</f>
        <v>3723047.1499964697</v>
      </c>
      <c r="O25" s="97">
        <f t="shared" si="10"/>
        <v>0.1273383993268766</v>
      </c>
      <c r="P25" s="91">
        <f>'1.4'!H4</f>
        <v>7257214.9586407626</v>
      </c>
      <c r="Q25" s="94">
        <f t="shared" si="11"/>
        <v>0.14440793129944998</v>
      </c>
      <c r="R25" s="11"/>
      <c r="S25" s="11"/>
      <c r="T25" s="11"/>
      <c r="U25" s="11"/>
      <c r="V25" s="9"/>
      <c r="W25" s="9"/>
      <c r="X25" s="9"/>
      <c r="Y25" s="9"/>
      <c r="AA25" s="19"/>
    </row>
    <row r="26" spans="1:27" ht="15" outlineLevel="1" x14ac:dyDescent="0.25">
      <c r="A26" s="1" t="s">
        <v>31</v>
      </c>
      <c r="D26" s="493" t="str">
        <f>'1.4'!D5</f>
        <v>Rotor Frame</v>
      </c>
      <c r="I26" s="124">
        <f>'1.4'!E36</f>
        <v>11.14</v>
      </c>
      <c r="J26" s="409">
        <f>'1.4'!E5</f>
        <v>105714.41647475585</v>
      </c>
      <c r="K26" s="97">
        <f t="shared" si="8"/>
        <v>3.3158469942694856E-2</v>
      </c>
      <c r="L26" s="409">
        <f>'1.4'!F5</f>
        <v>724409.96017336485</v>
      </c>
      <c r="M26" s="97">
        <f t="shared" si="9"/>
        <v>7.2162723128516085E-2</v>
      </c>
      <c r="N26" s="409">
        <f>'1.4'!G5</f>
        <v>3120511.7602558308</v>
      </c>
      <c r="O26" s="97">
        <f t="shared" si="10"/>
        <v>0.10673004037352801</v>
      </c>
      <c r="P26" s="409">
        <f>'1.4'!H5</f>
        <v>5978564.037810347</v>
      </c>
      <c r="Q26" s="94">
        <f t="shared" si="11"/>
        <v>0.11896465376342939</v>
      </c>
      <c r="R26" s="11"/>
      <c r="S26" s="11"/>
      <c r="T26" s="11"/>
      <c r="U26" s="11"/>
      <c r="V26" s="9"/>
      <c r="W26" s="9"/>
      <c r="X26" s="9"/>
      <c r="Y26" s="9"/>
    </row>
    <row r="27" spans="1:27" ht="15" outlineLevel="1" x14ac:dyDescent="0.25">
      <c r="A27" s="1" t="s">
        <v>32</v>
      </c>
      <c r="D27" s="493" t="str">
        <f>'1.4'!D6</f>
        <v>Crossbridge</v>
      </c>
      <c r="I27" s="124">
        <f>'1.4'!E48</f>
        <v>6.51</v>
      </c>
      <c r="J27" s="409">
        <f>'1.4'!E6</f>
        <v>46202.332717884434</v>
      </c>
      <c r="K27" s="97">
        <f t="shared" si="8"/>
        <v>1.4491861297595044E-2</v>
      </c>
      <c r="L27" s="409">
        <f>'1.4'!F6</f>
        <v>325561.44214724028</v>
      </c>
      <c r="M27" s="97">
        <f t="shared" si="9"/>
        <v>3.243108392017318E-2</v>
      </c>
      <c r="N27" s="409">
        <f>'1.4'!G6</f>
        <v>1429926.5839626726</v>
      </c>
      <c r="O27" s="97">
        <f t="shared" si="10"/>
        <v>4.8907401658055287E-2</v>
      </c>
      <c r="P27" s="409">
        <f>'1.4'!H6</f>
        <v>2766176.3009394985</v>
      </c>
      <c r="Q27" s="94">
        <f t="shared" si="11"/>
        <v>5.5042850391612774E-2</v>
      </c>
      <c r="R27" s="11"/>
      <c r="S27" s="11"/>
      <c r="T27" s="11"/>
      <c r="U27" s="11"/>
      <c r="V27" s="9"/>
      <c r="W27" s="9"/>
      <c r="X27" s="9"/>
      <c r="Y27" s="9"/>
    </row>
    <row r="28" spans="1:27" ht="15" outlineLevel="1" x14ac:dyDescent="0.25">
      <c r="A28" s="501" t="s">
        <v>33</v>
      </c>
      <c r="D28" s="493" t="str">
        <f>'1.4'!D7</f>
        <v>Device Access (Railings, Ladders, etc)</v>
      </c>
      <c r="I28" s="124">
        <f>'1.4'!E58</f>
        <v>4.2930000000000001</v>
      </c>
      <c r="J28" s="409">
        <f>'1.4'!E7</f>
        <v>26878.722669646344</v>
      </c>
      <c r="K28" s="97">
        <f t="shared" si="8"/>
        <v>8.4308020368473353E-3</v>
      </c>
      <c r="L28" s="409">
        <f>'1.4'!F7</f>
        <v>188515.01740062988</v>
      </c>
      <c r="M28" s="97">
        <f t="shared" si="9"/>
        <v>1.8779086089585808E-2</v>
      </c>
      <c r="N28" s="409">
        <f>'1.4'!G7</f>
        <v>827348.54942149739</v>
      </c>
      <c r="O28" s="97">
        <f t="shared" si="10"/>
        <v>2.8297584135845995E-2</v>
      </c>
      <c r="P28" s="409">
        <f>'1.4'!H7</f>
        <v>1600195.5297390609</v>
      </c>
      <c r="Q28" s="94">
        <f t="shared" si="11"/>
        <v>3.184154354544922E-2</v>
      </c>
    </row>
    <row r="29" spans="1:27" s="60" customFormat="1" ht="15" x14ac:dyDescent="0.25">
      <c r="A29" s="73">
        <v>1.5</v>
      </c>
      <c r="C29" s="60" t="s">
        <v>34</v>
      </c>
      <c r="I29" s="123">
        <f>SUM(I30:I42)</f>
        <v>20.458011791383221</v>
      </c>
      <c r="J29" s="92">
        <f>SUM(J30:J43)</f>
        <v>847453.424</v>
      </c>
      <c r="K29" s="93">
        <f t="shared" si="8"/>
        <v>0.26581293095675423</v>
      </c>
      <c r="L29" s="410">
        <f>SUM(L30:L43)</f>
        <v>3372379.8201112123</v>
      </c>
      <c r="M29" s="93">
        <f t="shared" si="9"/>
        <v>0.33594252512022288</v>
      </c>
      <c r="N29" s="410">
        <f>SUM(N30:N43)</f>
        <v>9792890.3217169866</v>
      </c>
      <c r="O29" s="93">
        <f t="shared" si="10"/>
        <v>0.33494364377101299</v>
      </c>
      <c r="P29" s="410">
        <f>SUM(P30:P43)</f>
        <v>15887317.163295621</v>
      </c>
      <c r="Q29" s="99">
        <f t="shared" si="11"/>
        <v>0.31613430476082638</v>
      </c>
    </row>
    <row r="30" spans="1:27" ht="15" outlineLevel="1" x14ac:dyDescent="0.25">
      <c r="A30" s="1" t="s">
        <v>35</v>
      </c>
      <c r="D30" t="str">
        <f>'1.5'!E4</f>
        <v>Generator</v>
      </c>
      <c r="I30" s="124">
        <f>'1.5'!L4/1000</f>
        <v>3.3560090702947845</v>
      </c>
      <c r="J30" s="4">
        <f>'1.5'!G4</f>
        <v>102400</v>
      </c>
      <c r="K30" s="97">
        <f t="shared" si="8"/>
        <v>3.2118867372670661E-2</v>
      </c>
      <c r="L30" s="4">
        <f>'1.5'!H4</f>
        <v>478691.54995782307</v>
      </c>
      <c r="M30" s="97">
        <f t="shared" si="9"/>
        <v>4.7685271714513228E-2</v>
      </c>
      <c r="N30" s="4">
        <f>'1.5'!I4</f>
        <v>1406678.9184834165</v>
      </c>
      <c r="O30" s="97">
        <f t="shared" si="10"/>
        <v>4.8112267889680115E-2</v>
      </c>
      <c r="P30" s="4">
        <f>'1.5'!J4</f>
        <v>2237750.0000099903</v>
      </c>
      <c r="Q30" s="94">
        <f t="shared" si="11"/>
        <v>4.4527942207641447E-2</v>
      </c>
    </row>
    <row r="31" spans="1:27" ht="15" outlineLevel="1" x14ac:dyDescent="0.25">
      <c r="A31" s="1" t="s">
        <v>37</v>
      </c>
      <c r="D31" s="533" t="str">
        <f>'1.5'!E5</f>
        <v>Gearbox and Driveshaft</v>
      </c>
      <c r="I31" s="124">
        <f>'1.5'!L5/1000</f>
        <v>4.5006802721088439</v>
      </c>
      <c r="J31" s="449">
        <f>'1.5'!G5</f>
        <v>149594.70000000001</v>
      </c>
      <c r="K31" s="97">
        <f t="shared" si="8"/>
        <v>4.6921995399945862E-2</v>
      </c>
      <c r="L31" s="449">
        <f>'1.5'!H5</f>
        <v>751664.74187879334</v>
      </c>
      <c r="M31" s="97">
        <f t="shared" si="9"/>
        <v>7.4877731720703708E-2</v>
      </c>
      <c r="N31" s="449">
        <f>'1.5'!I5</f>
        <v>2323151.9780465029</v>
      </c>
      <c r="O31" s="97">
        <f t="shared" si="10"/>
        <v>7.9458154129954911E-2</v>
      </c>
      <c r="P31" s="449">
        <f>'1.5'!J5</f>
        <v>3776871.0000000871</v>
      </c>
      <c r="Q31" s="94">
        <f t="shared" si="11"/>
        <v>7.5154192207784618E-2</v>
      </c>
    </row>
    <row r="32" spans="1:27" ht="15" outlineLevel="1" x14ac:dyDescent="0.25">
      <c r="A32" s="1" t="s">
        <v>38</v>
      </c>
      <c r="D32" s="533" t="str">
        <f>'1.5'!E6</f>
        <v>Hydraulic System</v>
      </c>
      <c r="I32" s="124">
        <f>'1.5'!L6/1000</f>
        <v>0</v>
      </c>
      <c r="J32" s="449">
        <f>'1.5'!G6</f>
        <v>0</v>
      </c>
      <c r="K32" s="97">
        <f t="shared" si="8"/>
        <v>0</v>
      </c>
      <c r="L32" s="449">
        <f>'1.5'!H6</f>
        <v>0</v>
      </c>
      <c r="M32" s="97">
        <f t="shared" si="9"/>
        <v>0</v>
      </c>
      <c r="N32" s="449">
        <f>'1.5'!I6</f>
        <v>0</v>
      </c>
      <c r="O32" s="97">
        <f t="shared" si="10"/>
        <v>0</v>
      </c>
      <c r="P32" s="449">
        <f>'1.5'!J6</f>
        <v>0</v>
      </c>
      <c r="Q32" s="94">
        <f t="shared" si="11"/>
        <v>0</v>
      </c>
    </row>
    <row r="33" spans="1:18" ht="15" outlineLevel="1" x14ac:dyDescent="0.25">
      <c r="A33" s="1" t="s">
        <v>39</v>
      </c>
      <c r="D33" s="533" t="str">
        <f>'1.5'!E7</f>
        <v>Frequency Converter</v>
      </c>
      <c r="I33" s="124">
        <f>'1.5'!L7/1000</f>
        <v>0.22675736961451248</v>
      </c>
      <c r="J33" s="449">
        <f>'1.5'!G7</f>
        <v>32000</v>
      </c>
      <c r="K33" s="97">
        <f t="shared" si="8"/>
        <v>1.0037146053959582E-2</v>
      </c>
      <c r="L33" s="449">
        <f>'1.5'!H7</f>
        <v>251027.96656947237</v>
      </c>
      <c r="M33" s="97">
        <f t="shared" si="9"/>
        <v>2.5006367450734663E-2</v>
      </c>
      <c r="N33" s="449">
        <f>'1.5'!I7</f>
        <v>1059256.6363762105</v>
      </c>
      <c r="O33" s="97">
        <f t="shared" si="10"/>
        <v>3.6229475243859298E-2</v>
      </c>
      <c r="P33" s="449">
        <f>'1.5'!J7</f>
        <v>1969220.0000001292</v>
      </c>
      <c r="Q33" s="94">
        <f t="shared" si="11"/>
        <v>3.9184589142552108E-2</v>
      </c>
    </row>
    <row r="34" spans="1:18" ht="15" outlineLevel="1" x14ac:dyDescent="0.25">
      <c r="A34" s="1" t="s">
        <v>42</v>
      </c>
      <c r="D34" s="533" t="str">
        <f>'1.5'!E8</f>
        <v>Step-up Transformer</v>
      </c>
      <c r="I34" s="124">
        <f>'1.5'!L8/1000</f>
        <v>0.18140589569160998</v>
      </c>
      <c r="J34" s="449">
        <f>'1.5'!G8</f>
        <v>2500</v>
      </c>
      <c r="K34" s="97">
        <f t="shared" si="8"/>
        <v>7.8415203546559225E-4</v>
      </c>
      <c r="L34" s="449">
        <f>'1.5'!H8</f>
        <v>22360.679774993627</v>
      </c>
      <c r="M34" s="97">
        <f t="shared" si="9"/>
        <v>2.2274784062633647E-3</v>
      </c>
      <c r="N34" s="449">
        <f>'1.5'!I8</f>
        <v>103415.68439019668</v>
      </c>
      <c r="O34" s="97">
        <f t="shared" si="10"/>
        <v>3.5370993664567453E-3</v>
      </c>
      <c r="P34" s="449">
        <f>'1.5'!J8</f>
        <v>199999.99999992363</v>
      </c>
      <c r="Q34" s="94">
        <f t="shared" si="11"/>
        <v>3.9797065988091294E-3</v>
      </c>
    </row>
    <row r="35" spans="1:18" ht="15" outlineLevel="1" x14ac:dyDescent="0.25">
      <c r="A35" s="1" t="s">
        <v>44</v>
      </c>
      <c r="D35" s="533" t="str">
        <f>'1.5'!E9</f>
        <v>Riser Cable</v>
      </c>
      <c r="I35" s="124">
        <f>'1.5'!L9/1000</f>
        <v>0</v>
      </c>
      <c r="J35" s="449">
        <f>'1.5'!G9</f>
        <v>8400</v>
      </c>
      <c r="K35" s="97">
        <f t="shared" si="8"/>
        <v>2.6347508391643903E-3</v>
      </c>
      <c r="L35" s="449">
        <f>'1.5'!H9</f>
        <v>84000</v>
      </c>
      <c r="M35" s="97">
        <f t="shared" si="9"/>
        <v>8.367732466495463E-3</v>
      </c>
      <c r="N35" s="449">
        <f>'1.5'!I9</f>
        <v>420000</v>
      </c>
      <c r="O35" s="97">
        <f t="shared" si="10"/>
        <v>1.4365149180917273E-2</v>
      </c>
      <c r="P35" s="449">
        <f>'1.5'!J9</f>
        <v>840000</v>
      </c>
      <c r="Q35" s="94">
        <f t="shared" si="11"/>
        <v>1.6714767715004727E-2</v>
      </c>
    </row>
    <row r="36" spans="1:18" ht="15" outlineLevel="1" x14ac:dyDescent="0.25">
      <c r="A36" s="1" t="s">
        <v>46</v>
      </c>
      <c r="D36" s="533" t="str">
        <f>'1.5'!E10</f>
        <v>Electrical Energy Storage</v>
      </c>
      <c r="I36" s="124">
        <f>'1.5'!L10/1000</f>
        <v>0</v>
      </c>
      <c r="J36" s="449">
        <f>'1.5'!G10</f>
        <v>0</v>
      </c>
      <c r="K36" s="97">
        <f t="shared" ref="K36:K51" si="12">J36/$J$55</f>
        <v>0</v>
      </c>
      <c r="L36" s="449">
        <f>'1.5'!H10</f>
        <v>0</v>
      </c>
      <c r="M36" s="97">
        <f t="shared" ref="M36:M51" si="13">L36/$L$55</f>
        <v>0</v>
      </c>
      <c r="N36" s="449">
        <f>'1.5'!I10</f>
        <v>0</v>
      </c>
      <c r="O36" s="97">
        <f t="shared" ref="O36:O51" si="14">N36/$N$55</f>
        <v>0</v>
      </c>
      <c r="P36" s="449">
        <f>'1.5'!J10</f>
        <v>0</v>
      </c>
      <c r="Q36" s="94">
        <f t="shared" ref="Q36:Q51" si="15">P36/$P$55</f>
        <v>0</v>
      </c>
    </row>
    <row r="37" spans="1:18" ht="15" outlineLevel="1" x14ac:dyDescent="0.25">
      <c r="A37" s="1" t="s">
        <v>48</v>
      </c>
      <c r="D37" s="533" t="str">
        <f>'1.5'!E11</f>
        <v>Seals</v>
      </c>
      <c r="I37" s="124">
        <f>'1.5'!L11/1000</f>
        <v>0</v>
      </c>
      <c r="J37" s="449">
        <f>'1.5'!G11</f>
        <v>0</v>
      </c>
      <c r="K37" s="97">
        <f t="shared" si="12"/>
        <v>0</v>
      </c>
      <c r="L37" s="449">
        <f>'1.5'!H11</f>
        <v>0</v>
      </c>
      <c r="M37" s="97">
        <f t="shared" si="13"/>
        <v>0</v>
      </c>
      <c r="N37" s="449">
        <f>'1.5'!I11</f>
        <v>0</v>
      </c>
      <c r="O37" s="97">
        <f t="shared" si="14"/>
        <v>0</v>
      </c>
      <c r="P37" s="449">
        <f>'1.5'!J11</f>
        <v>0</v>
      </c>
      <c r="Q37" s="94">
        <f t="shared" si="15"/>
        <v>0</v>
      </c>
    </row>
    <row r="38" spans="1:18" ht="15" outlineLevel="1" x14ac:dyDescent="0.25">
      <c r="A38" s="1" t="s">
        <v>63</v>
      </c>
      <c r="D38" s="533" t="str">
        <f>'1.5'!E12</f>
        <v xml:space="preserve">Control System </v>
      </c>
      <c r="I38" s="124">
        <f>'1.5'!L12/1000</f>
        <v>1.8140589569160998E-2</v>
      </c>
      <c r="J38" s="449">
        <f>'1.5'!G12</f>
        <v>8300</v>
      </c>
      <c r="K38" s="97">
        <f t="shared" si="12"/>
        <v>2.6033847577457666E-3</v>
      </c>
      <c r="L38" s="449">
        <f>'1.5'!H12</f>
        <v>40743.097574929197</v>
      </c>
      <c r="M38" s="97">
        <f t="shared" si="13"/>
        <v>4.0586588138491388E-3</v>
      </c>
      <c r="N38" s="449">
        <f>'1.5'!I12</f>
        <v>123886.93483872707</v>
      </c>
      <c r="O38" s="97">
        <f t="shared" si="14"/>
        <v>4.2372721441068855E-3</v>
      </c>
      <c r="P38" s="449">
        <f>'1.5'!J12</f>
        <v>200000.00000002421</v>
      </c>
      <c r="Q38" s="94">
        <f t="shared" si="15"/>
        <v>3.9797065988111313E-3</v>
      </c>
      <c r="R38" s="11"/>
    </row>
    <row r="39" spans="1:18" ht="15" outlineLevel="1" x14ac:dyDescent="0.25">
      <c r="A39" s="1" t="s">
        <v>69</v>
      </c>
      <c r="D39" s="533" t="str">
        <f>'1.5'!E13</f>
        <v>Bearings and Linear Guides</v>
      </c>
      <c r="I39" s="124">
        <f>'1.5'!L13/1000</f>
        <v>7.679818594104308</v>
      </c>
      <c r="J39" s="449">
        <f>'1.5'!G13</f>
        <v>331608.27999999997</v>
      </c>
      <c r="K39" s="97">
        <f t="shared" si="12"/>
        <v>0.10401252309569761</v>
      </c>
      <c r="L39" s="449">
        <f>'1.5'!H13</f>
        <v>818646.84399876511</v>
      </c>
      <c r="M39" s="97">
        <f t="shared" si="13"/>
        <v>8.1550211608601361E-2</v>
      </c>
      <c r="N39" s="449">
        <f>'1.5'!I13</f>
        <v>1539650.7091341505</v>
      </c>
      <c r="O39" s="97">
        <f t="shared" si="14"/>
        <v>5.2660266960040815E-2</v>
      </c>
      <c r="P39" s="449">
        <f>'1.5'!J13</f>
        <v>2021007.0001543344</v>
      </c>
      <c r="Q39" s="94">
        <f t="shared" si="15"/>
        <v>4.0215074473783599E-2</v>
      </c>
    </row>
    <row r="40" spans="1:18" ht="15" outlineLevel="1" x14ac:dyDescent="0.25">
      <c r="A40" s="1" t="s">
        <v>70</v>
      </c>
      <c r="D40" s="533" t="str">
        <f>'1.5'!E14</f>
        <v>Assembly, Testing &amp; QA</v>
      </c>
      <c r="I40" s="124">
        <f>'1.5'!L14/1000</f>
        <v>0</v>
      </c>
      <c r="J40" s="449">
        <f>'1.5'!G14</f>
        <v>76277.584000000003</v>
      </c>
      <c r="K40" s="97">
        <f t="shared" si="12"/>
        <v>2.3925289101599079E-2</v>
      </c>
      <c r="L40" s="449">
        <f>'1.5'!H14</f>
        <v>333644.14724612725</v>
      </c>
      <c r="M40" s="97">
        <f t="shared" si="13"/>
        <v>3.3236249561519188E-2</v>
      </c>
      <c r="N40" s="449">
        <f>'1.5'!I14</f>
        <v>935931.37860815693</v>
      </c>
      <c r="O40" s="97">
        <f t="shared" si="14"/>
        <v>3.201141399239938E-2</v>
      </c>
      <c r="P40" s="449">
        <f>'1.5'!J14</f>
        <v>1459385.7219126846</v>
      </c>
      <c r="Q40" s="94">
        <f t="shared" si="15"/>
        <v>2.9039634938529773E-2</v>
      </c>
    </row>
    <row r="41" spans="1:18" ht="15" outlineLevel="1" x14ac:dyDescent="0.25">
      <c r="A41" s="1" t="s">
        <v>71</v>
      </c>
      <c r="D41" s="533" t="str">
        <f>'1.5'!E15</f>
        <v>Rotors</v>
      </c>
      <c r="I41" s="124">
        <f>'1.5'!L15/1000</f>
        <v>0.8952</v>
      </c>
      <c r="J41" s="449">
        <f>'1.5'!G15</f>
        <v>27552</v>
      </c>
      <c r="K41" s="97">
        <f t="shared" si="12"/>
        <v>8.6419827524592003E-3</v>
      </c>
      <c r="L41" s="449">
        <f>'1.5'!H15</f>
        <v>158529.40261077372</v>
      </c>
      <c r="M41" s="97">
        <f t="shared" si="13"/>
        <v>1.5792043203813118E-2</v>
      </c>
      <c r="N41" s="449">
        <f>'1.5'!I15</f>
        <v>538637.71148602816</v>
      </c>
      <c r="O41" s="97">
        <f t="shared" si="14"/>
        <v>1.8422883523725408E-2</v>
      </c>
      <c r="P41" s="449">
        <f>'1.5'!J15</f>
        <v>912150.53325089952</v>
      </c>
      <c r="Q41" s="94">
        <f t="shared" si="15"/>
        <v>1.8150457481436288E-2</v>
      </c>
    </row>
    <row r="42" spans="1:18" s="5" customFormat="1" ht="15" outlineLevel="1" x14ac:dyDescent="0.25">
      <c r="A42" s="1" t="s">
        <v>73</v>
      </c>
      <c r="D42" s="533" t="str">
        <f>'1.5'!E16</f>
        <v>PTO mounting</v>
      </c>
      <c r="I42" s="124">
        <f>'1.5'!L16/1000</f>
        <v>3.6</v>
      </c>
      <c r="J42" s="449">
        <f>'1.5'!G16</f>
        <v>28930.66</v>
      </c>
      <c r="K42" s="97">
        <f t="shared" si="12"/>
        <v>9.0744143705451964E-3</v>
      </c>
      <c r="L42" s="449">
        <f>'1.5'!H16</f>
        <v>222965.22471507036</v>
      </c>
      <c r="M42" s="97">
        <f t="shared" si="13"/>
        <v>2.2210873211282751E-2</v>
      </c>
      <c r="N42" s="449">
        <f>'1.5'!I16</f>
        <v>929263.3417341141</v>
      </c>
      <c r="O42" s="97">
        <f t="shared" si="14"/>
        <v>3.1783348886591088E-2</v>
      </c>
      <c r="P42" s="449">
        <f>'1.5'!J16</f>
        <v>1718367.0000007546</v>
      </c>
      <c r="Q42" s="94">
        <f t="shared" si="15"/>
        <v>3.4192982445407312E-2</v>
      </c>
    </row>
    <row r="43" spans="1:18" s="72" customFormat="1" ht="15" outlineLevel="1" x14ac:dyDescent="0.25">
      <c r="A43" s="39" t="s">
        <v>155</v>
      </c>
      <c r="D43" s="533" t="str">
        <f>'1.5'!E17</f>
        <v>Other</v>
      </c>
      <c r="I43" s="124">
        <f>'1.5'!L17/1000</f>
        <v>1.5111111111111111</v>
      </c>
      <c r="J43" s="449">
        <f>'1.5'!G17</f>
        <v>79890.2</v>
      </c>
      <c r="K43" s="97">
        <f t="shared" si="12"/>
        <v>2.5058425177501304E-2</v>
      </c>
      <c r="L43" s="449">
        <f>'1.5'!H17</f>
        <v>210106.16578446436</v>
      </c>
      <c r="M43" s="97">
        <f t="shared" si="13"/>
        <v>2.0929906962446915E-2</v>
      </c>
      <c r="N43" s="449">
        <f>'1.5'!I17</f>
        <v>413017.02861948218</v>
      </c>
      <c r="O43" s="97">
        <f t="shared" si="14"/>
        <v>1.4126312453281048E-2</v>
      </c>
      <c r="P43" s="449">
        <f>'1.5'!J17</f>
        <v>552565.9079667948</v>
      </c>
      <c r="Q43" s="94">
        <f t="shared" si="15"/>
        <v>1.0995250951066257E-2</v>
      </c>
    </row>
    <row r="44" spans="1:18" s="60" customFormat="1" ht="15" x14ac:dyDescent="0.25">
      <c r="A44" s="73">
        <v>1.6</v>
      </c>
      <c r="C44" s="60" t="s">
        <v>77</v>
      </c>
      <c r="I44" s="84"/>
      <c r="J44" s="120">
        <f>'1.6'!E7</f>
        <v>114311.93733661096</v>
      </c>
      <c r="K44" s="93">
        <f>J44/$J$55</f>
        <v>3.5855175336207488E-2</v>
      </c>
      <c r="L44" s="413">
        <f>'1.6'!F7</f>
        <v>544604.50115181413</v>
      </c>
      <c r="M44" s="93">
        <f t="shared" si="13"/>
        <v>5.4251247210566678E-2</v>
      </c>
      <c r="N44" s="413">
        <f>'1.6'!G7</f>
        <v>1889372.4365353459</v>
      </c>
      <c r="O44" s="93">
        <f t="shared" si="14"/>
        <v>6.4621706926531894E-2</v>
      </c>
      <c r="P44" s="413">
        <f>'1.6'!H7</f>
        <v>3348946.799042529</v>
      </c>
      <c r="Q44" s="99">
        <f t="shared" si="15"/>
        <v>6.6639128376076773E-2</v>
      </c>
    </row>
    <row r="45" spans="1:18" s="60" customFormat="1" ht="15" x14ac:dyDescent="0.25">
      <c r="A45" s="73">
        <v>1.7</v>
      </c>
      <c r="C45" s="60" t="s">
        <v>49</v>
      </c>
      <c r="I45" s="84"/>
      <c r="J45" s="71">
        <f>SUM(J46:J51)</f>
        <v>529695</v>
      </c>
      <c r="K45" s="93">
        <f>J45/$J$55</f>
        <v>0.16614456497037877</v>
      </c>
      <c r="L45" s="407">
        <f>SUM(L46:L51)</f>
        <v>701150</v>
      </c>
      <c r="M45" s="93">
        <f t="shared" si="13"/>
        <v>6.984566212956303E-2</v>
      </c>
      <c r="N45" s="407">
        <f>SUM(N46:N51)</f>
        <v>1554935</v>
      </c>
      <c r="O45" s="93">
        <f>N45/$N$55</f>
        <v>5.3183031527689523E-2</v>
      </c>
      <c r="P45" s="407">
        <f>SUM(P46:P51)</f>
        <v>2692265</v>
      </c>
      <c r="Q45" s="99">
        <f>P45/$P$55</f>
        <v>5.3572123931234762E-2</v>
      </c>
    </row>
    <row r="46" spans="1:18" ht="15" outlineLevel="1" x14ac:dyDescent="0.25">
      <c r="A46" s="1" t="s">
        <v>78</v>
      </c>
      <c r="D46" t="str">
        <f>'1.7'!D5</f>
        <v>Transport to Staging Site</v>
      </c>
      <c r="I46" s="62"/>
      <c r="J46" s="4">
        <f>'1.7'!F5</f>
        <v>0</v>
      </c>
      <c r="K46" s="97">
        <f>J46/$J$55</f>
        <v>0</v>
      </c>
      <c r="L46" s="4">
        <f>'1.7'!G5</f>
        <v>0</v>
      </c>
      <c r="M46" s="97">
        <f t="shared" si="13"/>
        <v>0</v>
      </c>
      <c r="N46" s="4">
        <f>'1.7'!H5</f>
        <v>0</v>
      </c>
      <c r="O46" s="97">
        <f t="shared" si="14"/>
        <v>0</v>
      </c>
      <c r="P46" s="4">
        <f>'1.7'!I5</f>
        <v>0</v>
      </c>
      <c r="Q46" s="94">
        <f t="shared" si="15"/>
        <v>0</v>
      </c>
    </row>
    <row r="47" spans="1:18" ht="15" outlineLevel="1" x14ac:dyDescent="0.25">
      <c r="A47" s="1" t="s">
        <v>79</v>
      </c>
      <c r="D47" s="533" t="str">
        <f>'1.7'!D6</f>
        <v>Cable Shore Landing</v>
      </c>
      <c r="I47" s="62"/>
      <c r="J47" s="449">
        <f>'1.7'!F6</f>
        <v>170000</v>
      </c>
      <c r="K47" s="97">
        <f t="shared" si="12"/>
        <v>5.3322338411660279E-2</v>
      </c>
      <c r="L47" s="449">
        <f>'1.7'!G6</f>
        <v>170000</v>
      </c>
      <c r="M47" s="97">
        <f t="shared" si="13"/>
        <v>1.6934696658383677E-2</v>
      </c>
      <c r="N47" s="449">
        <f>'1.7'!H6</f>
        <v>170000</v>
      </c>
      <c r="O47" s="97">
        <f t="shared" si="14"/>
        <v>5.8144651446569917E-3</v>
      </c>
      <c r="P47" s="449">
        <f>'1.7'!I6</f>
        <v>170000</v>
      </c>
      <c r="Q47" s="94">
        <f t="shared" si="15"/>
        <v>3.3827506089890518E-3</v>
      </c>
    </row>
    <row r="48" spans="1:18" ht="15" outlineLevel="1" x14ac:dyDescent="0.25">
      <c r="A48" s="1" t="s">
        <v>80</v>
      </c>
      <c r="D48" s="533" t="str">
        <f>'1.7'!D7</f>
        <v>Mooring/Foundation System</v>
      </c>
      <c r="I48" s="62"/>
      <c r="J48" s="449">
        <f>'1.7'!F7</f>
        <v>214915</v>
      </c>
      <c r="K48" s="97">
        <f t="shared" si="12"/>
        <v>6.7410413880835102E-2</v>
      </c>
      <c r="L48" s="449">
        <f>'1.7'!G7</f>
        <v>333990</v>
      </c>
      <c r="M48" s="97">
        <f t="shared" si="13"/>
        <v>3.3270701981962143E-2</v>
      </c>
      <c r="N48" s="449">
        <f>'1.7'!H7</f>
        <v>867055</v>
      </c>
      <c r="O48" s="97">
        <f t="shared" si="14"/>
        <v>2.9655653388238633E-2</v>
      </c>
      <c r="P48" s="449">
        <f>'1.7'!I7</f>
        <v>1603485</v>
      </c>
      <c r="Q48" s="94">
        <f t="shared" si="15"/>
        <v>3.1906999177969471E-2</v>
      </c>
    </row>
    <row r="49" spans="1:19" ht="15" outlineLevel="1" x14ac:dyDescent="0.25">
      <c r="A49" s="1" t="s">
        <v>81</v>
      </c>
      <c r="D49" s="533" t="str">
        <f>'1.7'!D8</f>
        <v>Cable Installation</v>
      </c>
      <c r="I49" s="62"/>
      <c r="J49" s="449">
        <f>'1.7'!F8</f>
        <v>108960</v>
      </c>
      <c r="K49" s="97">
        <f t="shared" si="12"/>
        <v>3.4176482313732374E-2</v>
      </c>
      <c r="L49" s="449">
        <f>'1.7'!G8</f>
        <v>108960</v>
      </c>
      <c r="M49" s="97">
        <f t="shared" si="13"/>
        <v>1.0854144399396973E-2</v>
      </c>
      <c r="N49" s="449">
        <f>'1.7'!H8</f>
        <v>196880</v>
      </c>
      <c r="O49" s="97">
        <f t="shared" si="14"/>
        <v>6.7338346922356969E-3</v>
      </c>
      <c r="P49" s="449">
        <f>'1.7'!I8</f>
        <v>306780</v>
      </c>
      <c r="Q49" s="94">
        <f t="shared" si="15"/>
        <v>6.104471951915655E-3</v>
      </c>
    </row>
    <row r="50" spans="1:19" ht="15" outlineLevel="1" x14ac:dyDescent="0.25">
      <c r="A50" s="1" t="s">
        <v>82</v>
      </c>
      <c r="D50" s="533" t="str">
        <f>'1.7'!D9</f>
        <v>Device Installation</v>
      </c>
      <c r="I50" s="62"/>
      <c r="J50" s="449">
        <f>'1.7'!F9</f>
        <v>34540</v>
      </c>
      <c r="K50" s="97">
        <f t="shared" si="12"/>
        <v>1.0833844521992623E-2</v>
      </c>
      <c r="L50" s="449">
        <f>'1.7'!G9</f>
        <v>75400</v>
      </c>
      <c r="M50" s="97">
        <f t="shared" si="13"/>
        <v>7.5110360473066426E-3</v>
      </c>
      <c r="N50" s="449">
        <f>'1.7'!H9</f>
        <v>257000</v>
      </c>
      <c r="O50" s="97">
        <f t="shared" si="14"/>
        <v>8.7901031892755697E-3</v>
      </c>
      <c r="P50" s="449">
        <f>'1.7'!I9</f>
        <v>484000</v>
      </c>
      <c r="Q50" s="94">
        <f t="shared" si="15"/>
        <v>9.6308899691217708E-3</v>
      </c>
    </row>
    <row r="51" spans="1:19" ht="15" outlineLevel="1" x14ac:dyDescent="0.25">
      <c r="A51" s="1" t="s">
        <v>83</v>
      </c>
      <c r="D51" s="533" t="str">
        <f>'1.7'!D10</f>
        <v>Device Comissioning</v>
      </c>
      <c r="I51" s="62"/>
      <c r="J51" s="449">
        <f>'1.7'!F10</f>
        <v>1280</v>
      </c>
      <c r="K51" s="97">
        <f t="shared" si="12"/>
        <v>4.0148584215838327E-4</v>
      </c>
      <c r="L51" s="449">
        <f>'1.7'!G10</f>
        <v>12800</v>
      </c>
      <c r="M51" s="97">
        <f t="shared" si="13"/>
        <v>1.2750830425135944E-3</v>
      </c>
      <c r="N51" s="449">
        <f>'1.7'!H10</f>
        <v>64000</v>
      </c>
      <c r="O51" s="97">
        <f t="shared" si="14"/>
        <v>2.1889751132826321E-3</v>
      </c>
      <c r="P51" s="449">
        <f>'1.7'!I10</f>
        <v>128000</v>
      </c>
      <c r="Q51" s="94">
        <f t="shared" si="15"/>
        <v>2.5470122232388154E-3</v>
      </c>
    </row>
    <row r="52" spans="1:19" s="81" customFormat="1" ht="15" x14ac:dyDescent="0.25">
      <c r="A52" s="101">
        <v>1.8</v>
      </c>
      <c r="C52" s="84" t="s">
        <v>164</v>
      </c>
      <c r="J52" s="650">
        <f>J45</f>
        <v>529695</v>
      </c>
      <c r="K52" s="93">
        <f t="shared" ref="K52:Q52" si="16">K45</f>
        <v>0.16614456497037877</v>
      </c>
      <c r="L52" s="650">
        <f t="shared" si="16"/>
        <v>701150</v>
      </c>
      <c r="M52" s="659">
        <f t="shared" si="16"/>
        <v>6.984566212956303E-2</v>
      </c>
      <c r="N52" s="650">
        <f t="shared" si="16"/>
        <v>1554935</v>
      </c>
      <c r="O52" s="659">
        <f t="shared" si="16"/>
        <v>5.3183031527689523E-2</v>
      </c>
      <c r="P52" s="650">
        <f t="shared" si="16"/>
        <v>2692265</v>
      </c>
      <c r="Q52" s="659">
        <f t="shared" si="16"/>
        <v>5.3572123931234762E-2</v>
      </c>
    </row>
    <row r="53" spans="1:19" s="84" customFormat="1" ht="15" x14ac:dyDescent="0.25">
      <c r="A53" s="658">
        <v>1.9</v>
      </c>
      <c r="C53" s="84" t="s">
        <v>161</v>
      </c>
      <c r="J53" s="650">
        <f>10%*(J45+J44+J29+J24+J18+J12+J4)</f>
        <v>289832.47762378567</v>
      </c>
      <c r="K53" s="93">
        <f t="shared" ref="K53:Q53" si="17">10%*(K45+K44+K29+K24+K18+K12+K4)</f>
        <v>9.0909090909090898E-2</v>
      </c>
      <c r="L53" s="650">
        <f t="shared" si="17"/>
        <v>912596.53280500555</v>
      </c>
      <c r="M53" s="93">
        <f t="shared" si="17"/>
        <v>9.0909090909090925E-2</v>
      </c>
      <c r="N53" s="650">
        <f t="shared" si="17"/>
        <v>2657947.9057926578</v>
      </c>
      <c r="O53" s="93">
        <f t="shared" si="17"/>
        <v>9.0909090909090912E-2</v>
      </c>
      <c r="P53" s="650">
        <f t="shared" si="17"/>
        <v>4568632.8201309843</v>
      </c>
      <c r="Q53" s="93">
        <f t="shared" si="17"/>
        <v>9.0909090909090925E-2</v>
      </c>
    </row>
    <row r="54" spans="1:19" s="72" customFormat="1" ht="15" outlineLevel="1" x14ac:dyDescent="0.25">
      <c r="A54" s="39"/>
      <c r="I54" s="62"/>
      <c r="K54" s="61"/>
      <c r="M54" s="61"/>
      <c r="O54" s="61"/>
      <c r="Q54" s="62"/>
    </row>
    <row r="55" spans="1:19" s="72" customFormat="1" ht="15" outlineLevel="1" x14ac:dyDescent="0.25">
      <c r="A55" s="166" t="s">
        <v>552</v>
      </c>
      <c r="B55" s="167"/>
      <c r="C55" s="167"/>
      <c r="D55" s="167"/>
      <c r="E55" s="167"/>
      <c r="F55" s="167"/>
      <c r="G55" s="167"/>
      <c r="H55" s="167"/>
      <c r="I55" s="171">
        <f>I29+I24</f>
        <v>67.681011791383213</v>
      </c>
      <c r="J55" s="516">
        <f>J53+J45+J44+J29+J24+J18+J12+J4</f>
        <v>3188157.2538616424</v>
      </c>
      <c r="K55" s="654">
        <f t="shared" ref="K55:Q55" si="18">K52+K45+K44+K29+K24+K18+K12+K4</f>
        <v>1.0752354740612877</v>
      </c>
      <c r="L55" s="516">
        <f>L53+L45+L44+L29+L24+L18+L12+L4</f>
        <v>10038561.86085506</v>
      </c>
      <c r="M55" s="654">
        <f t="shared" si="18"/>
        <v>0.97893657122047206</v>
      </c>
      <c r="N55" s="516">
        <f>N53+N45+N44+N29+N24+N18+N12+N4</f>
        <v>29237426.963719238</v>
      </c>
      <c r="O55" s="654">
        <f t="shared" si="18"/>
        <v>0.96227394061859861</v>
      </c>
      <c r="P55" s="516">
        <f>P53+P45+P44+P29+P24+P18+P12+P4</f>
        <v>50254961.021440819</v>
      </c>
      <c r="Q55" s="654">
        <f t="shared" si="18"/>
        <v>0.96266303302214395</v>
      </c>
    </row>
    <row r="56" spans="1:19" s="72" customFormat="1" ht="15" outlineLevel="1" x14ac:dyDescent="0.25">
      <c r="A56" s="39"/>
      <c r="I56" s="62"/>
      <c r="J56" s="4"/>
      <c r="K56" s="91"/>
      <c r="L56" s="4"/>
      <c r="M56" s="91"/>
      <c r="N56" s="4"/>
      <c r="O56" s="91"/>
      <c r="P56" s="4"/>
      <c r="Q56" s="62"/>
    </row>
    <row r="57" spans="1:19" s="60" customFormat="1" ht="15" x14ac:dyDescent="0.25">
      <c r="A57" s="73">
        <v>2</v>
      </c>
      <c r="B57" s="60" t="s">
        <v>60</v>
      </c>
      <c r="I57" s="84"/>
      <c r="J57" s="71">
        <f>SUM(J58:J63)</f>
        <v>200778.70277565441</v>
      </c>
      <c r="K57" s="99">
        <f>J57/$J$55</f>
        <v>6.2976411383868225E-2</v>
      </c>
      <c r="L57" s="407">
        <f>SUM(L58:L63)</f>
        <v>510634.72849372349</v>
      </c>
      <c r="M57" s="99">
        <f>L57/$L$55</f>
        <v>5.0867319001631266E-2</v>
      </c>
      <c r="N57" s="407">
        <f>SUM(N58:N63)</f>
        <v>1125328.9257427731</v>
      </c>
      <c r="O57" s="99">
        <f>N57/$N$55</f>
        <v>3.8489328323562645E-2</v>
      </c>
      <c r="P57" s="407">
        <f>SUM(P58:P63)</f>
        <v>1700737.9276602177</v>
      </c>
      <c r="Q57" s="99">
        <f>P57/$P$55</f>
        <v>3.3842189767784588E-2</v>
      </c>
    </row>
    <row r="58" spans="1:19" ht="15" outlineLevel="1" x14ac:dyDescent="0.25">
      <c r="A58" s="1">
        <v>2.1</v>
      </c>
      <c r="C58" t="s">
        <v>54</v>
      </c>
      <c r="I58" s="62"/>
      <c r="J58" s="449">
        <f>'2.1'!E4</f>
        <v>39126.926214054409</v>
      </c>
      <c r="K58" s="98">
        <f t="shared" ref="K58:K63" si="19">J58/$J$55</f>
        <v>1.2272583532905123E-2</v>
      </c>
      <c r="L58" s="449">
        <f>'2.1'!F4</f>
        <v>142551.9902533991</v>
      </c>
      <c r="M58" s="98">
        <f t="shared" ref="M58:M63" si="20">L58/$L$55</f>
        <v>1.420043948817753E-2</v>
      </c>
      <c r="N58" s="449">
        <f>'2.1'!G4</f>
        <v>241457.51801888805</v>
      </c>
      <c r="O58" s="98">
        <f t="shared" ref="O58:O63" si="21">N58/$N$55</f>
        <v>8.2585077790365419E-3</v>
      </c>
      <c r="P58" s="4">
        <f>'2.1'!H4</f>
        <v>215492.9989473391</v>
      </c>
      <c r="Q58" s="94">
        <f t="shared" ref="Q58:Q63" si="22">P58/$P$55</f>
        <v>4.2879945495411086E-3</v>
      </c>
    </row>
    <row r="59" spans="1:19" ht="15" outlineLevel="1" x14ac:dyDescent="0.25">
      <c r="A59" s="1">
        <v>2.2000000000000002</v>
      </c>
      <c r="C59" t="s">
        <v>55</v>
      </c>
      <c r="I59" s="62"/>
      <c r="J59" s="231">
        <f>'2.2'!E4</f>
        <v>127500</v>
      </c>
      <c r="K59" s="98">
        <f t="shared" si="19"/>
        <v>3.9991753808745208E-2</v>
      </c>
      <c r="L59" s="449">
        <f>'2.2'!F4</f>
        <v>174000</v>
      </c>
      <c r="M59" s="98">
        <f t="shared" si="20"/>
        <v>1.7333160109169174E-2</v>
      </c>
      <c r="N59" s="449">
        <f>'2.2'!G4</f>
        <v>174000</v>
      </c>
      <c r="O59" s="98">
        <f t="shared" si="21"/>
        <v>5.951276089237156E-3</v>
      </c>
      <c r="P59" s="449">
        <f>'2.2'!H4</f>
        <v>174000</v>
      </c>
      <c r="Q59" s="94">
        <f t="shared" si="22"/>
        <v>3.4623447409652649E-3</v>
      </c>
      <c r="R59" s="4"/>
      <c r="S59" s="4"/>
    </row>
    <row r="60" spans="1:19" outlineLevel="1" x14ac:dyDescent="0.3">
      <c r="A60" s="1">
        <v>2.2999999999999998</v>
      </c>
      <c r="C60" t="s">
        <v>56</v>
      </c>
      <c r="I60" s="62"/>
      <c r="J60" s="4">
        <f>'2.3'!E5</f>
        <v>7080</v>
      </c>
      <c r="K60" s="98">
        <f t="shared" si="19"/>
        <v>2.2207185644385575E-3</v>
      </c>
      <c r="L60" s="449">
        <f>'2.3'!F5</f>
        <v>70800</v>
      </c>
      <c r="M60" s="98">
        <f t="shared" si="20"/>
        <v>7.0528030789033195E-3</v>
      </c>
      <c r="N60" s="449">
        <f>'2.3'!G5</f>
        <v>354000</v>
      </c>
      <c r="O60" s="98">
        <f t="shared" si="21"/>
        <v>1.2107768595344558E-2</v>
      </c>
      <c r="P60" s="449">
        <f>'2.3'!H5</f>
        <v>708000</v>
      </c>
      <c r="Q60" s="94">
        <f t="shared" si="22"/>
        <v>1.4088161359789698E-2</v>
      </c>
      <c r="R60" s="11"/>
      <c r="S60" s="11"/>
    </row>
    <row r="61" spans="1:19" outlineLevel="1" x14ac:dyDescent="0.3">
      <c r="A61" s="1">
        <v>2.4</v>
      </c>
      <c r="C61" t="s">
        <v>57</v>
      </c>
      <c r="I61" s="62"/>
      <c r="J61" s="4">
        <f>'2.4'!E4</f>
        <v>9360</v>
      </c>
      <c r="K61" s="98">
        <f t="shared" si="19"/>
        <v>2.9358652207831775E-3</v>
      </c>
      <c r="L61" s="449">
        <f>'2.4'!F4</f>
        <v>52800</v>
      </c>
      <c r="M61" s="98">
        <f t="shared" si="20"/>
        <v>5.2597175503685768E-3</v>
      </c>
      <c r="N61" s="449">
        <f>'2.4'!G4</f>
        <v>151200</v>
      </c>
      <c r="O61" s="98">
        <f t="shared" si="21"/>
        <v>5.1714537051302184E-3</v>
      </c>
      <c r="P61" s="449">
        <f>'2.4'!H4</f>
        <v>271200</v>
      </c>
      <c r="Q61" s="94">
        <f t="shared" si="22"/>
        <v>5.3964821479872407E-3</v>
      </c>
    </row>
    <row r="62" spans="1:19" outlineLevel="1" x14ac:dyDescent="0.3">
      <c r="A62" s="2">
        <v>2.5</v>
      </c>
      <c r="C62" t="s">
        <v>58</v>
      </c>
      <c r="I62" s="62"/>
      <c r="J62" s="4">
        <f>'2.5'!E5</f>
        <v>16101.615055999999</v>
      </c>
      <c r="K62" s="98">
        <f t="shared" si="19"/>
        <v>5.0504456881783301E-3</v>
      </c>
      <c r="L62" s="449">
        <f>'2.5'!F5</f>
        <v>64075.216582113033</v>
      </c>
      <c r="M62" s="98">
        <f>L62/$L$55</f>
        <v>6.3829079772842346E-3</v>
      </c>
      <c r="N62" s="449">
        <f>'2.5'!G5</f>
        <v>186064.91611262274</v>
      </c>
      <c r="O62" s="98">
        <f t="shared" si="21"/>
        <v>6.3639292316492466E-3</v>
      </c>
      <c r="P62" s="449">
        <f>'2.5'!H5</f>
        <v>301859.0261026168</v>
      </c>
      <c r="Q62" s="94">
        <f t="shared" si="22"/>
        <v>6.0065517904557006E-3</v>
      </c>
    </row>
    <row r="63" spans="1:19" outlineLevel="1" x14ac:dyDescent="0.3">
      <c r="A63" s="1">
        <v>2.6</v>
      </c>
      <c r="C63" t="s">
        <v>59</v>
      </c>
      <c r="I63" s="62"/>
      <c r="J63" s="4">
        <f>'2.6'!E4</f>
        <v>1610.1615056000001</v>
      </c>
      <c r="K63" s="98">
        <f t="shared" si="19"/>
        <v>5.0504456881783307E-4</v>
      </c>
      <c r="L63" s="449">
        <f>'2.6'!F4</f>
        <v>6407.5216582113035</v>
      </c>
      <c r="M63" s="98">
        <f t="shared" si="20"/>
        <v>6.3829079772842348E-4</v>
      </c>
      <c r="N63" s="449">
        <f>'2.6'!G4</f>
        <v>18606.491611262274</v>
      </c>
      <c r="O63" s="98">
        <f t="shared" si="21"/>
        <v>6.3639292316492466E-4</v>
      </c>
      <c r="P63" s="449">
        <f>'2.6'!H4</f>
        <v>30185.902610261681</v>
      </c>
      <c r="Q63" s="94">
        <f t="shared" si="22"/>
        <v>6.0065517904557011E-4</v>
      </c>
      <c r="S63" s="12"/>
    </row>
    <row r="64" spans="1:19" x14ac:dyDescent="0.3">
      <c r="I64" s="62"/>
      <c r="J64" s="62"/>
      <c r="K64" s="81"/>
      <c r="L64" s="62"/>
      <c r="M64" s="81"/>
      <c r="N64" s="62"/>
      <c r="O64" s="81"/>
      <c r="P64" s="62"/>
      <c r="Q64" s="62"/>
    </row>
    <row r="65" spans="1:17" s="60" customFormat="1" x14ac:dyDescent="0.3">
      <c r="A65" s="166" t="s">
        <v>251</v>
      </c>
      <c r="B65" s="167"/>
      <c r="C65" s="167"/>
      <c r="D65" s="167"/>
      <c r="E65" s="167"/>
      <c r="F65" s="167"/>
      <c r="G65" s="167"/>
      <c r="H65" s="167"/>
      <c r="I65" s="167"/>
      <c r="J65" s="179">
        <f>J57</f>
        <v>200778.70277565441</v>
      </c>
      <c r="K65" s="169">
        <f t="shared" ref="K65:Q65" si="23">SUM(K58:K63)</f>
        <v>6.2976411383868225E-2</v>
      </c>
      <c r="L65" s="424">
        <f>L57</f>
        <v>510634.72849372349</v>
      </c>
      <c r="M65" s="169">
        <f t="shared" si="23"/>
        <v>5.0867319001631252E-2</v>
      </c>
      <c r="N65" s="424">
        <f>N57</f>
        <v>1125328.9257427731</v>
      </c>
      <c r="O65" s="169">
        <f t="shared" si="23"/>
        <v>3.8489328323562645E-2</v>
      </c>
      <c r="P65" s="424">
        <f>P57</f>
        <v>1700737.9276602177</v>
      </c>
      <c r="Q65" s="169">
        <f t="shared" si="23"/>
        <v>3.3842189767784581E-2</v>
      </c>
    </row>
    <row r="66" spans="1:17" x14ac:dyDescent="0.3">
      <c r="J66" s="4"/>
      <c r="K66" s="91"/>
      <c r="L66" s="4"/>
      <c r="M66" s="91"/>
      <c r="N66" s="4"/>
      <c r="O66" s="91"/>
      <c r="P66" s="4"/>
    </row>
    <row r="67" spans="1:17" x14ac:dyDescent="0.3">
      <c r="J67" s="6"/>
      <c r="K67" s="81"/>
      <c r="L67" s="6"/>
      <c r="M67" s="81"/>
      <c r="N67" s="6"/>
      <c r="O67" s="81"/>
      <c r="P67" s="6"/>
    </row>
  </sheetData>
  <dataConsolidate/>
  <mergeCells count="1">
    <mergeCell ref="J1:P1"/>
  </mergeCells>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9"/>
  <sheetViews>
    <sheetView topLeftCell="A8" zoomScale="60" zoomScaleNormal="60" workbookViewId="0">
      <selection activeCell="B71" sqref="B71"/>
    </sheetView>
  </sheetViews>
  <sheetFormatPr defaultRowHeight="14.4" x14ac:dyDescent="0.3"/>
  <cols>
    <col min="1" max="1" width="8.6640625" customWidth="1"/>
    <col min="2" max="2" width="7.88671875" customWidth="1"/>
    <col min="3" max="3" width="35.33203125" customWidth="1"/>
    <col min="4" max="4" width="13.109375" customWidth="1"/>
    <col min="5" max="5" width="19.5546875" customWidth="1"/>
    <col min="6" max="6" width="17.5546875" customWidth="1"/>
    <col min="7" max="7" width="16.44140625" bestFit="1" customWidth="1"/>
    <col min="8" max="8" width="18.109375" bestFit="1" customWidth="1"/>
    <col min="9" max="9" width="17.6640625" bestFit="1" customWidth="1"/>
    <col min="10" max="10" width="16.33203125" customWidth="1"/>
    <col min="11" max="11" width="15" customWidth="1"/>
    <col min="12" max="12" width="18.6640625" customWidth="1"/>
    <col min="13" max="13" width="17.33203125" customWidth="1"/>
    <col min="14" max="14" width="18.88671875" customWidth="1"/>
    <col min="15" max="15" width="14.44140625" customWidth="1"/>
    <col min="17" max="17" width="11.109375" customWidth="1"/>
    <col min="18" max="18" width="12.33203125" customWidth="1"/>
    <col min="19" max="19" width="10.5546875" customWidth="1"/>
    <col min="20" max="20" width="12.44140625" bestFit="1" customWidth="1"/>
    <col min="21" max="21" width="12" bestFit="1" customWidth="1"/>
  </cols>
  <sheetData>
    <row r="1" spans="1:15" s="12" customFormat="1" ht="15" x14ac:dyDescent="0.25">
      <c r="A1" s="535" t="s">
        <v>363</v>
      </c>
      <c r="C1" s="38"/>
      <c r="D1" s="38"/>
      <c r="E1" s="38"/>
      <c r="J1" s="594"/>
      <c r="K1" s="594"/>
      <c r="L1" s="594"/>
      <c r="M1" s="594"/>
      <c r="N1" s="594"/>
      <c r="O1" s="594"/>
    </row>
    <row r="2" spans="1:15" s="12" customFormat="1" ht="15" x14ac:dyDescent="0.25">
      <c r="A2" s="13"/>
      <c r="C2" s="38"/>
      <c r="D2" s="38"/>
      <c r="E2" s="83"/>
      <c r="F2" s="488"/>
      <c r="G2" s="488"/>
      <c r="H2" s="488"/>
      <c r="J2" s="594"/>
      <c r="K2" s="594"/>
      <c r="L2" s="594"/>
      <c r="M2" s="594"/>
      <c r="N2" s="594"/>
      <c r="O2" s="594"/>
    </row>
    <row r="3" spans="1:15" ht="15" x14ac:dyDescent="0.25">
      <c r="A3" s="241" t="s">
        <v>117</v>
      </c>
      <c r="C3" s="38"/>
      <c r="D3" s="38"/>
      <c r="E3" s="488"/>
      <c r="J3" s="594"/>
      <c r="K3" s="594"/>
      <c r="L3" s="594"/>
      <c r="M3" s="594"/>
      <c r="N3" s="594"/>
      <c r="O3" s="594"/>
    </row>
    <row r="4" spans="1:15" s="38" customFormat="1" ht="15" x14ac:dyDescent="0.25">
      <c r="B4" s="39"/>
      <c r="E4" s="243" t="s">
        <v>91</v>
      </c>
      <c r="F4" s="243" t="s">
        <v>114</v>
      </c>
      <c r="G4" s="243" t="s">
        <v>116</v>
      </c>
      <c r="H4" s="243" t="s">
        <v>115</v>
      </c>
      <c r="J4" s="594"/>
      <c r="K4" s="596"/>
      <c r="L4" s="596"/>
      <c r="M4" s="596"/>
      <c r="N4" s="596"/>
      <c r="O4" s="595"/>
    </row>
    <row r="5" spans="1:15" s="38" customFormat="1" ht="15" x14ac:dyDescent="0.25">
      <c r="B5" s="39" t="s">
        <v>108</v>
      </c>
      <c r="C5" s="38" t="s">
        <v>3</v>
      </c>
      <c r="E5" s="232">
        <f>F21</f>
        <v>95000</v>
      </c>
      <c r="F5" s="232">
        <f>G21</f>
        <v>171000</v>
      </c>
      <c r="G5" s="232">
        <f>H21</f>
        <v>181000</v>
      </c>
      <c r="H5" s="232">
        <f>H21</f>
        <v>181000</v>
      </c>
      <c r="J5" s="594"/>
      <c r="K5" s="597"/>
      <c r="L5" s="597"/>
      <c r="M5" s="597"/>
      <c r="N5" s="597"/>
      <c r="O5" s="594"/>
    </row>
    <row r="6" spans="1:15" s="38" customFormat="1" ht="15" x14ac:dyDescent="0.25">
      <c r="B6" s="39" t="s">
        <v>109</v>
      </c>
      <c r="C6" s="38" t="s">
        <v>5</v>
      </c>
      <c r="E6" s="232">
        <f>F35</f>
        <v>290000</v>
      </c>
      <c r="F6" s="232">
        <f>G35</f>
        <v>757500</v>
      </c>
      <c r="G6" s="232">
        <f>H35</f>
        <v>927500</v>
      </c>
      <c r="H6" s="232">
        <f>H35</f>
        <v>927500</v>
      </c>
      <c r="J6" s="594"/>
      <c r="K6" s="594"/>
      <c r="L6" s="594"/>
      <c r="M6" s="594"/>
      <c r="N6" s="594"/>
      <c r="O6" s="594"/>
    </row>
    <row r="7" spans="1:15" s="38" customFormat="1" ht="15" x14ac:dyDescent="0.25">
      <c r="B7" s="39" t="s">
        <v>110</v>
      </c>
      <c r="C7" s="38" t="s">
        <v>7</v>
      </c>
      <c r="E7" s="232">
        <f>F45</f>
        <v>127500</v>
      </c>
      <c r="F7" s="232">
        <f>G45</f>
        <v>302500</v>
      </c>
      <c r="G7" s="232">
        <f>H45</f>
        <v>302500</v>
      </c>
      <c r="H7" s="232">
        <f>H45</f>
        <v>302500</v>
      </c>
      <c r="J7" s="594"/>
      <c r="K7" s="594"/>
      <c r="L7" s="594"/>
      <c r="M7" s="594"/>
      <c r="N7" s="594"/>
      <c r="O7" s="594"/>
    </row>
    <row r="8" spans="1:15" ht="15" x14ac:dyDescent="0.25">
      <c r="A8" s="13"/>
      <c r="B8" s="39" t="s">
        <v>111</v>
      </c>
      <c r="C8" s="38" t="s">
        <v>8</v>
      </c>
      <c r="D8" s="12"/>
      <c r="E8" s="232">
        <f>F51</f>
        <v>97500</v>
      </c>
      <c r="F8" s="232">
        <f>G51</f>
        <v>207500</v>
      </c>
      <c r="G8" s="232">
        <f>H51</f>
        <v>207500</v>
      </c>
      <c r="H8" s="232">
        <f>H51</f>
        <v>207500</v>
      </c>
      <c r="J8" s="594"/>
      <c r="K8" s="594"/>
      <c r="L8" s="594"/>
      <c r="M8" s="594"/>
      <c r="N8" s="594"/>
      <c r="O8" s="594"/>
    </row>
    <row r="9" spans="1:15" s="38" customFormat="1" ht="15" x14ac:dyDescent="0.25">
      <c r="A9" s="43"/>
      <c r="B9" s="39" t="s">
        <v>4</v>
      </c>
      <c r="C9" s="38" t="s">
        <v>112</v>
      </c>
      <c r="E9" s="254">
        <f>F58</f>
        <v>193963</v>
      </c>
      <c r="F9" s="254">
        <f t="shared" ref="F9:H9" si="0">G58</f>
        <v>294061</v>
      </c>
      <c r="G9" s="254">
        <f t="shared" si="0"/>
        <v>294061</v>
      </c>
      <c r="H9" s="254">
        <f t="shared" si="0"/>
        <v>294061</v>
      </c>
    </row>
    <row r="10" spans="1:15" s="38" customFormat="1" ht="15" x14ac:dyDescent="0.25">
      <c r="A10" s="43"/>
      <c r="B10" s="39" t="s">
        <v>6</v>
      </c>
      <c r="C10" s="38" t="s">
        <v>163</v>
      </c>
      <c r="E10" s="254">
        <f>F64</f>
        <v>138015.46553513603</v>
      </c>
      <c r="F10" s="254">
        <f t="shared" ref="F10:H10" si="1">G64</f>
        <v>265804.81538009865</v>
      </c>
      <c r="G10" s="254">
        <f t="shared" si="1"/>
        <v>521166.25603777601</v>
      </c>
      <c r="H10" s="254">
        <f t="shared" si="1"/>
        <v>675167.41184201732</v>
      </c>
    </row>
    <row r="11" spans="1:15" s="533" customFormat="1" ht="15" x14ac:dyDescent="0.25">
      <c r="A11" s="535"/>
      <c r="B11" s="466"/>
      <c r="E11" s="489"/>
      <c r="F11" s="489"/>
      <c r="G11" s="489"/>
      <c r="H11" s="489"/>
    </row>
    <row r="12" spans="1:15" s="533" customFormat="1" ht="15" x14ac:dyDescent="0.25">
      <c r="A12" s="535"/>
      <c r="B12" s="351"/>
      <c r="C12" s="351" t="s">
        <v>106</v>
      </c>
      <c r="D12" s="354"/>
      <c r="E12" s="354">
        <f>SUM(E5:E10)</f>
        <v>941978.46553513606</v>
      </c>
      <c r="F12" s="354">
        <f t="shared" ref="F12:H12" si="2">SUM(F5:F10)</f>
        <v>1998365.8153800988</v>
      </c>
      <c r="G12" s="354">
        <f t="shared" si="2"/>
        <v>2433727.2560377759</v>
      </c>
      <c r="H12" s="354">
        <f t="shared" si="2"/>
        <v>2587728.4118420174</v>
      </c>
    </row>
    <row r="13" spans="1:15" s="38" customFormat="1" ht="15" x14ac:dyDescent="0.25">
      <c r="A13" s="43"/>
      <c r="B13" s="533"/>
      <c r="C13" s="533"/>
      <c r="D13" s="598"/>
      <c r="E13" s="598"/>
      <c r="F13" s="598"/>
      <c r="G13" s="598"/>
      <c r="H13" s="598"/>
      <c r="I13" s="352"/>
    </row>
    <row r="14" spans="1:15" s="38" customFormat="1" ht="15" x14ac:dyDescent="0.25">
      <c r="A14" s="43"/>
      <c r="B14" s="39"/>
      <c r="E14" s="352"/>
      <c r="F14" s="352"/>
      <c r="G14" s="352"/>
      <c r="H14" s="352"/>
      <c r="I14" s="352"/>
    </row>
    <row r="15" spans="1:15" s="60" customFormat="1" ht="15" x14ac:dyDescent="0.25">
      <c r="A15" s="60" t="s">
        <v>108</v>
      </c>
      <c r="B15" s="73" t="s">
        <v>124</v>
      </c>
      <c r="E15" s="84"/>
      <c r="F15" s="255" t="s">
        <v>105</v>
      </c>
      <c r="G15" s="255" t="s">
        <v>94</v>
      </c>
      <c r="H15" s="255" t="s">
        <v>293</v>
      </c>
      <c r="I15" s="84"/>
    </row>
    <row r="16" spans="1:15" s="38" customFormat="1" ht="15" x14ac:dyDescent="0.25">
      <c r="A16" s="43"/>
      <c r="B16" s="53"/>
      <c r="C16" s="55" t="s">
        <v>125</v>
      </c>
      <c r="D16" s="49"/>
      <c r="E16" s="355"/>
      <c r="F16" s="433">
        <v>22500</v>
      </c>
      <c r="G16" s="256">
        <f>F16</f>
        <v>22500</v>
      </c>
      <c r="H16" s="256">
        <f>F16</f>
        <v>22500</v>
      </c>
      <c r="I16" s="352"/>
    </row>
    <row r="17" spans="1:9" s="38" customFormat="1" ht="15" x14ac:dyDescent="0.25">
      <c r="A17" s="43"/>
      <c r="B17" s="53"/>
      <c r="C17" s="56" t="s">
        <v>126</v>
      </c>
      <c r="D17" s="49"/>
      <c r="E17" s="355"/>
      <c r="F17" s="433">
        <v>10000</v>
      </c>
      <c r="G17" s="256">
        <f>F17+10000</f>
        <v>20000</v>
      </c>
      <c r="H17" s="256">
        <f>F17+10000</f>
        <v>20000</v>
      </c>
      <c r="I17" s="352"/>
    </row>
    <row r="18" spans="1:9" s="38" customFormat="1" ht="15" x14ac:dyDescent="0.25">
      <c r="A18" s="43"/>
      <c r="B18" s="53"/>
      <c r="C18" s="56" t="s">
        <v>127</v>
      </c>
      <c r="D18" s="49"/>
      <c r="E18" s="355"/>
      <c r="F18" s="433">
        <v>55000</v>
      </c>
      <c r="G18" s="256">
        <f>F18+55000</f>
        <v>110000</v>
      </c>
      <c r="H18" s="256">
        <f>F18+65000</f>
        <v>120000</v>
      </c>
      <c r="I18" s="352"/>
    </row>
    <row r="19" spans="1:9" s="38" customFormat="1" ht="15" x14ac:dyDescent="0.25">
      <c r="A19" s="43"/>
      <c r="B19" s="53"/>
      <c r="C19" s="56" t="s">
        <v>128</v>
      </c>
      <c r="D19" s="49"/>
      <c r="E19" s="355"/>
      <c r="F19" s="433">
        <v>7500</v>
      </c>
      <c r="G19" s="256">
        <f>F19+11000</f>
        <v>18500</v>
      </c>
      <c r="H19" s="256">
        <f>F19+11000</f>
        <v>18500</v>
      </c>
      <c r="I19" s="352"/>
    </row>
    <row r="20" spans="1:9" s="72" customFormat="1" ht="15" x14ac:dyDescent="0.25">
      <c r="A20" s="60"/>
      <c r="B20" s="53"/>
      <c r="C20" s="56"/>
      <c r="D20" s="49"/>
      <c r="E20" s="355"/>
      <c r="F20" s="256"/>
      <c r="G20" s="256"/>
      <c r="H20" s="256"/>
      <c r="I20" s="352"/>
    </row>
    <row r="21" spans="1:9" s="61" customFormat="1" ht="15" x14ac:dyDescent="0.25">
      <c r="B21" s="53"/>
      <c r="C21" s="109" t="s">
        <v>90</v>
      </c>
      <c r="D21" s="25"/>
      <c r="E21" s="116"/>
      <c r="F21" s="257">
        <f>SUM(F16:F19)</f>
        <v>95000</v>
      </c>
      <c r="G21" s="257">
        <f t="shared" ref="G21:H21" si="3">SUM(G16:G19)</f>
        <v>171000</v>
      </c>
      <c r="H21" s="257">
        <f t="shared" si="3"/>
        <v>181000</v>
      </c>
      <c r="I21" s="81"/>
    </row>
    <row r="22" spans="1:9" s="72" customFormat="1" ht="15" x14ac:dyDescent="0.25">
      <c r="A22" s="60"/>
      <c r="B22" s="53"/>
      <c r="C22" s="55"/>
      <c r="D22" s="49"/>
      <c r="E22" s="355"/>
      <c r="F22" s="356"/>
      <c r="G22" s="347"/>
      <c r="H22" s="350"/>
      <c r="I22" s="352"/>
    </row>
    <row r="23" spans="1:9" s="60" customFormat="1" ht="15" x14ac:dyDescent="0.25">
      <c r="A23" s="60" t="s">
        <v>109</v>
      </c>
      <c r="B23" s="228" t="s">
        <v>5</v>
      </c>
      <c r="C23" s="229"/>
      <c r="D23" s="32"/>
      <c r="E23" s="348"/>
      <c r="F23" s="255" t="s">
        <v>105</v>
      </c>
      <c r="G23" s="255" t="s">
        <v>94</v>
      </c>
      <c r="H23" s="432" t="s">
        <v>293</v>
      </c>
      <c r="I23" s="84"/>
    </row>
    <row r="24" spans="1:9" s="38" customFormat="1" ht="15" x14ac:dyDescent="0.25">
      <c r="A24" s="43"/>
      <c r="B24" s="53"/>
      <c r="C24" s="56" t="s">
        <v>129</v>
      </c>
      <c r="D24" s="49"/>
      <c r="E24" s="355"/>
      <c r="F24" s="256">
        <v>75000</v>
      </c>
      <c r="G24" s="256">
        <f>F24+37500</f>
        <v>112500</v>
      </c>
      <c r="H24" s="256">
        <f>F24+55000</f>
        <v>130000</v>
      </c>
      <c r="I24" s="352"/>
    </row>
    <row r="25" spans="1:9" s="72" customFormat="1" ht="15" x14ac:dyDescent="0.25">
      <c r="A25" s="60"/>
      <c r="B25" s="53"/>
      <c r="C25" s="56" t="s">
        <v>167</v>
      </c>
      <c r="D25" s="49"/>
      <c r="E25" s="355"/>
      <c r="F25" s="256">
        <v>0</v>
      </c>
      <c r="G25" s="256">
        <v>90000</v>
      </c>
      <c r="H25" s="256">
        <v>100000</v>
      </c>
      <c r="I25" s="352"/>
    </row>
    <row r="26" spans="1:9" s="38" customFormat="1" ht="15" x14ac:dyDescent="0.25">
      <c r="A26" s="43"/>
      <c r="B26" s="53"/>
      <c r="C26" s="56" t="s">
        <v>313</v>
      </c>
      <c r="D26" s="49"/>
      <c r="E26" s="355"/>
      <c r="F26" s="256">
        <v>47500</v>
      </c>
      <c r="G26" s="256">
        <f>F26</f>
        <v>47500</v>
      </c>
      <c r="H26" s="256">
        <f>F26+47500</f>
        <v>95000</v>
      </c>
      <c r="I26" s="352"/>
    </row>
    <row r="27" spans="1:9" s="38" customFormat="1" ht="15" x14ac:dyDescent="0.25">
      <c r="A27" s="43"/>
      <c r="B27" s="53"/>
      <c r="C27" s="56" t="s">
        <v>130</v>
      </c>
      <c r="D27" s="49"/>
      <c r="E27" s="355"/>
      <c r="F27" s="256">
        <v>45000</v>
      </c>
      <c r="G27" s="256">
        <f>F27+45000</f>
        <v>90000</v>
      </c>
      <c r="H27" s="256">
        <f>F27+45000</f>
        <v>90000</v>
      </c>
      <c r="I27" s="352"/>
    </row>
    <row r="28" spans="1:9" s="38" customFormat="1" ht="15" x14ac:dyDescent="0.25">
      <c r="A28" s="43"/>
      <c r="B28" s="53"/>
      <c r="C28" s="56" t="s">
        <v>320</v>
      </c>
      <c r="D28" s="49"/>
      <c r="E28" s="355"/>
      <c r="F28" s="256">
        <v>0</v>
      </c>
      <c r="G28" s="256">
        <v>30000</v>
      </c>
      <c r="H28" s="256">
        <v>50000</v>
      </c>
      <c r="I28" s="352"/>
    </row>
    <row r="29" spans="1:9" s="38" customFormat="1" ht="15" x14ac:dyDescent="0.25">
      <c r="A29" s="43"/>
      <c r="B29" s="53"/>
      <c r="C29" s="56" t="s">
        <v>131</v>
      </c>
      <c r="D29" s="49"/>
      <c r="E29" s="355"/>
      <c r="F29" s="256">
        <v>15000</v>
      </c>
      <c r="G29" s="256">
        <f>F29+7500</f>
        <v>22500</v>
      </c>
      <c r="H29" s="256">
        <f>F29+50000</f>
        <v>65000</v>
      </c>
      <c r="I29" s="352"/>
    </row>
    <row r="30" spans="1:9" s="486" customFormat="1" ht="15" x14ac:dyDescent="0.25">
      <c r="A30" s="487"/>
      <c r="B30" s="458"/>
      <c r="C30" s="460" t="s">
        <v>314</v>
      </c>
      <c r="D30" s="456"/>
      <c r="E30" s="490"/>
      <c r="F30" s="433">
        <v>10000</v>
      </c>
      <c r="G30" s="433">
        <f>F30</f>
        <v>10000</v>
      </c>
      <c r="H30" s="433">
        <f>F30</f>
        <v>10000</v>
      </c>
      <c r="I30" s="491"/>
    </row>
    <row r="31" spans="1:9" s="38" customFormat="1" ht="15" x14ac:dyDescent="0.25">
      <c r="A31" s="43"/>
      <c r="B31" s="53"/>
      <c r="C31" s="56" t="s">
        <v>132</v>
      </c>
      <c r="D31" s="49"/>
      <c r="E31" s="355"/>
      <c r="F31" s="256">
        <v>35000</v>
      </c>
      <c r="G31" s="256">
        <f>F31+7500</f>
        <v>42500</v>
      </c>
      <c r="H31" s="256">
        <f>F31+32500</f>
        <v>67500</v>
      </c>
      <c r="I31" s="352"/>
    </row>
    <row r="32" spans="1:9" s="38" customFormat="1" ht="15" x14ac:dyDescent="0.25">
      <c r="A32" s="43"/>
      <c r="B32" s="53"/>
      <c r="C32" s="56" t="s">
        <v>133</v>
      </c>
      <c r="D32" s="49"/>
      <c r="E32" s="355"/>
      <c r="F32" s="256">
        <v>12500</v>
      </c>
      <c r="G32" s="256">
        <f>F32</f>
        <v>12500</v>
      </c>
      <c r="H32" s="256">
        <f>F32+7500</f>
        <v>20000</v>
      </c>
      <c r="I32" s="352"/>
    </row>
    <row r="33" spans="1:9" s="38" customFormat="1" ht="15" x14ac:dyDescent="0.25">
      <c r="A33" s="43"/>
      <c r="B33" s="53"/>
      <c r="C33" s="56" t="s">
        <v>134</v>
      </c>
      <c r="D33" s="49"/>
      <c r="E33" s="355"/>
      <c r="F33" s="256">
        <v>50000</v>
      </c>
      <c r="G33" s="256">
        <f>F33+250000</f>
        <v>300000</v>
      </c>
      <c r="H33" s="256">
        <f>F33+250000</f>
        <v>300000</v>
      </c>
      <c r="I33" s="352"/>
    </row>
    <row r="34" spans="1:9" s="72" customFormat="1" ht="15" x14ac:dyDescent="0.25">
      <c r="A34" s="60"/>
      <c r="B34" s="53"/>
      <c r="C34" s="56"/>
      <c r="D34" s="49"/>
      <c r="E34" s="355"/>
      <c r="F34" s="256"/>
      <c r="G34" s="256"/>
      <c r="H34" s="256"/>
      <c r="I34" s="352"/>
    </row>
    <row r="35" spans="1:9" s="61" customFormat="1" ht="15" x14ac:dyDescent="0.25">
      <c r="B35" s="53"/>
      <c r="C35" s="109" t="s">
        <v>90</v>
      </c>
      <c r="D35" s="25"/>
      <c r="E35" s="116"/>
      <c r="F35" s="257">
        <f>SUM(F24:F33)</f>
        <v>290000</v>
      </c>
      <c r="G35" s="257">
        <f>SUM(G24:G33)</f>
        <v>757500</v>
      </c>
      <c r="H35" s="257">
        <f>SUM(H24:H33)</f>
        <v>927500</v>
      </c>
      <c r="I35" s="81"/>
    </row>
    <row r="36" spans="1:9" s="38" customFormat="1" ht="15" x14ac:dyDescent="0.25">
      <c r="A36" s="43"/>
      <c r="B36" s="53"/>
      <c r="C36" s="55"/>
      <c r="D36" s="49"/>
      <c r="E36" s="355"/>
      <c r="F36" s="352"/>
      <c r="G36" s="352"/>
      <c r="H36" s="352"/>
      <c r="I36" s="352"/>
    </row>
    <row r="37" spans="1:9" s="38" customFormat="1" ht="15" x14ac:dyDescent="0.25">
      <c r="A37" s="43"/>
      <c r="B37" s="53"/>
      <c r="C37" s="55"/>
      <c r="D37" s="49"/>
      <c r="E37" s="355"/>
      <c r="F37" s="352"/>
      <c r="G37" s="355"/>
      <c r="H37" s="356"/>
      <c r="I37" s="352"/>
    </row>
    <row r="38" spans="1:9" s="60" customFormat="1" ht="15" x14ac:dyDescent="0.25">
      <c r="A38" s="60" t="s">
        <v>110</v>
      </c>
      <c r="B38" s="228" t="s">
        <v>135</v>
      </c>
      <c r="C38" s="229"/>
      <c r="D38" s="32"/>
      <c r="E38" s="348"/>
      <c r="F38" s="255" t="s">
        <v>105</v>
      </c>
      <c r="G38" s="255" t="s">
        <v>94</v>
      </c>
      <c r="H38" s="432" t="s">
        <v>293</v>
      </c>
      <c r="I38" s="84"/>
    </row>
    <row r="39" spans="1:9" s="38" customFormat="1" ht="15" x14ac:dyDescent="0.25">
      <c r="A39" s="43"/>
      <c r="B39" s="53"/>
      <c r="C39" s="56" t="s">
        <v>315</v>
      </c>
      <c r="D39" s="49"/>
      <c r="E39" s="355"/>
      <c r="F39" s="322">
        <v>52500</v>
      </c>
      <c r="G39" s="256">
        <f>F39+45000</f>
        <v>97500</v>
      </c>
      <c r="H39" s="256">
        <f>F39+45000</f>
        <v>97500</v>
      </c>
      <c r="I39" s="352"/>
    </row>
    <row r="40" spans="1:9" s="38" customFormat="1" ht="15" x14ac:dyDescent="0.25">
      <c r="A40" s="43"/>
      <c r="B40" s="53"/>
      <c r="C40" s="56" t="s">
        <v>316</v>
      </c>
      <c r="D40" s="49"/>
      <c r="E40" s="355"/>
      <c r="F40" s="322">
        <v>10000</v>
      </c>
      <c r="G40" s="256">
        <f>F40+10000</f>
        <v>20000</v>
      </c>
      <c r="H40" s="256">
        <f>F40+10000</f>
        <v>20000</v>
      </c>
      <c r="I40" s="352"/>
    </row>
    <row r="41" spans="1:9" s="38" customFormat="1" ht="15" x14ac:dyDescent="0.25">
      <c r="A41" s="43"/>
      <c r="B41" s="53"/>
      <c r="C41" s="56" t="s">
        <v>317</v>
      </c>
      <c r="D41" s="49"/>
      <c r="E41" s="355"/>
      <c r="F41" s="322">
        <v>5000</v>
      </c>
      <c r="G41" s="256">
        <f>F41+60000</f>
        <v>65000</v>
      </c>
      <c r="H41" s="256">
        <f>F41+60000</f>
        <v>65000</v>
      </c>
      <c r="I41" s="352"/>
    </row>
    <row r="42" spans="1:9" s="38" customFormat="1" ht="15" x14ac:dyDescent="0.25">
      <c r="A42" s="43"/>
      <c r="B42" s="53"/>
      <c r="C42" s="56" t="s">
        <v>318</v>
      </c>
      <c r="D42" s="49"/>
      <c r="E42" s="355"/>
      <c r="F42" s="322">
        <v>20000</v>
      </c>
      <c r="G42" s="256">
        <f>F42+20000</f>
        <v>40000</v>
      </c>
      <c r="H42" s="256">
        <f>F42+20000</f>
        <v>40000</v>
      </c>
      <c r="I42" s="352"/>
    </row>
    <row r="43" spans="1:9" s="448" customFormat="1" ht="15" x14ac:dyDescent="0.25">
      <c r="A43" s="453"/>
      <c r="B43" s="458"/>
      <c r="C43" s="460" t="s">
        <v>319</v>
      </c>
      <c r="D43" s="456"/>
      <c r="E43" s="457"/>
      <c r="F43" s="322">
        <v>40000</v>
      </c>
      <c r="G43" s="433">
        <f>F43+40000</f>
        <v>80000</v>
      </c>
      <c r="H43" s="433">
        <f>F43+40000</f>
        <v>80000</v>
      </c>
      <c r="I43" s="452"/>
    </row>
    <row r="44" spans="1:9" s="72" customFormat="1" ht="15" x14ac:dyDescent="0.25">
      <c r="A44" s="60"/>
      <c r="B44" s="39"/>
      <c r="C44" s="54"/>
      <c r="E44" s="352"/>
      <c r="F44" s="232"/>
      <c r="G44" s="256"/>
      <c r="H44" s="256"/>
      <c r="I44" s="352"/>
    </row>
    <row r="45" spans="1:9" s="105" customFormat="1" ht="15" x14ac:dyDescent="0.25">
      <c r="B45" s="106"/>
      <c r="C45" s="236" t="s">
        <v>90</v>
      </c>
      <c r="D45" s="249"/>
      <c r="E45" s="116"/>
      <c r="F45" s="257">
        <f>SUM(F39:F43)</f>
        <v>127500</v>
      </c>
      <c r="G45" s="257">
        <f>SUM(G39:G43)</f>
        <v>302500</v>
      </c>
      <c r="H45" s="257">
        <f>SUM(H39:H43)</f>
        <v>302500</v>
      </c>
      <c r="I45" s="349"/>
    </row>
    <row r="46" spans="1:9" s="72" customFormat="1" ht="15" x14ac:dyDescent="0.25">
      <c r="A46" s="60"/>
      <c r="B46" s="39"/>
      <c r="E46" s="352"/>
      <c r="F46" s="352"/>
      <c r="G46" s="356"/>
      <c r="H46" s="356"/>
      <c r="I46" s="352"/>
    </row>
    <row r="47" spans="1:9" s="60" customFormat="1" ht="15" x14ac:dyDescent="0.25">
      <c r="A47" s="60" t="s">
        <v>111</v>
      </c>
      <c r="B47" s="228" t="s">
        <v>138</v>
      </c>
      <c r="C47" s="32"/>
      <c r="D47" s="32"/>
      <c r="E47" s="348"/>
      <c r="F47" s="255" t="s">
        <v>105</v>
      </c>
      <c r="G47" s="255" t="s">
        <v>94</v>
      </c>
      <c r="H47" s="432" t="s">
        <v>293</v>
      </c>
      <c r="I47" s="84"/>
    </row>
    <row r="48" spans="1:9" s="38" customFormat="1" ht="15" x14ac:dyDescent="0.25">
      <c r="A48" s="43"/>
      <c r="B48" s="53"/>
      <c r="C48" s="57" t="s">
        <v>136</v>
      </c>
      <c r="D48" s="49"/>
      <c r="E48" s="355"/>
      <c r="F48" s="256">
        <v>62500</v>
      </c>
      <c r="G48" s="256">
        <f>F48+75000</f>
        <v>137500</v>
      </c>
      <c r="H48" s="256">
        <f>F48+75000</f>
        <v>137500</v>
      </c>
      <c r="I48" s="237"/>
    </row>
    <row r="49" spans="1:14" s="38" customFormat="1" ht="15" x14ac:dyDescent="0.25">
      <c r="A49" s="43"/>
      <c r="B49" s="53"/>
      <c r="C49" s="100" t="s">
        <v>137</v>
      </c>
      <c r="D49" s="49"/>
      <c r="E49" s="355"/>
      <c r="F49" s="256">
        <v>35000</v>
      </c>
      <c r="G49" s="256">
        <f>F49+35000</f>
        <v>70000</v>
      </c>
      <c r="H49" s="256">
        <f>F49+35000</f>
        <v>70000</v>
      </c>
      <c r="I49" s="237"/>
    </row>
    <row r="50" spans="1:14" s="72" customFormat="1" ht="15" x14ac:dyDescent="0.25">
      <c r="A50" s="60"/>
      <c r="B50" s="53"/>
      <c r="C50" s="100"/>
      <c r="D50" s="49"/>
      <c r="E50" s="355"/>
      <c r="F50" s="256"/>
      <c r="G50" s="256"/>
      <c r="H50" s="256"/>
      <c r="I50" s="237"/>
    </row>
    <row r="51" spans="1:14" s="61" customFormat="1" ht="15" x14ac:dyDescent="0.25">
      <c r="B51" s="53"/>
      <c r="C51" s="107" t="s">
        <v>90</v>
      </c>
      <c r="D51" s="25"/>
      <c r="E51" s="116"/>
      <c r="F51" s="257">
        <f>SUM(F48:F49)</f>
        <v>97500</v>
      </c>
      <c r="G51" s="257">
        <f t="shared" ref="G51:H51" si="4">SUM(G48:G49)</f>
        <v>207500</v>
      </c>
      <c r="H51" s="257">
        <f t="shared" si="4"/>
        <v>207500</v>
      </c>
      <c r="I51" s="237"/>
    </row>
    <row r="52" spans="1:14" s="52" customFormat="1" ht="15" x14ac:dyDescent="0.25">
      <c r="A52" s="43"/>
      <c r="B52" s="53"/>
      <c r="C52" s="57"/>
      <c r="D52" s="49"/>
      <c r="E52" s="355"/>
      <c r="F52" s="330"/>
      <c r="G52" s="330"/>
      <c r="H52" s="352"/>
      <c r="I52" s="352"/>
    </row>
    <row r="53" spans="1:14" ht="15" x14ac:dyDescent="0.25">
      <c r="E53" s="352"/>
      <c r="F53" s="352"/>
      <c r="G53" s="352"/>
      <c r="H53" s="352"/>
      <c r="I53" s="352"/>
    </row>
    <row r="54" spans="1:14" ht="15" x14ac:dyDescent="0.25">
      <c r="A54" s="43" t="s">
        <v>4</v>
      </c>
      <c r="B54" s="13" t="s">
        <v>112</v>
      </c>
      <c r="F54" s="64" t="s">
        <v>91</v>
      </c>
      <c r="G54" s="64" t="s">
        <v>114</v>
      </c>
      <c r="H54" s="64" t="s">
        <v>116</v>
      </c>
      <c r="I54" s="64" t="s">
        <v>115</v>
      </c>
    </row>
    <row r="55" spans="1:14" ht="15" x14ac:dyDescent="0.25">
      <c r="C55" t="s">
        <v>301</v>
      </c>
      <c r="F55" s="254">
        <v>193963</v>
      </c>
      <c r="G55" s="254">
        <v>294061</v>
      </c>
      <c r="H55" s="254">
        <v>294061</v>
      </c>
      <c r="I55" s="254">
        <v>294061</v>
      </c>
    </row>
    <row r="56" spans="1:14" ht="15" x14ac:dyDescent="0.25">
      <c r="F56" s="254"/>
      <c r="G56" s="254"/>
      <c r="H56" s="254"/>
      <c r="I56" s="254"/>
    </row>
    <row r="57" spans="1:14" s="72" customFormat="1" ht="15" x14ac:dyDescent="0.25">
      <c r="F57" s="254"/>
      <c r="G57" s="254"/>
      <c r="H57" s="254"/>
      <c r="I57" s="254"/>
    </row>
    <row r="58" spans="1:14" ht="15" x14ac:dyDescent="0.25">
      <c r="C58" s="20" t="s">
        <v>90</v>
      </c>
      <c r="D58" s="20"/>
      <c r="E58" s="20"/>
      <c r="F58" s="118">
        <f>SUM(F55:F56)</f>
        <v>193963</v>
      </c>
      <c r="G58" s="118">
        <f t="shared" ref="G58:I58" si="5">SUM(G55:G56)</f>
        <v>294061</v>
      </c>
      <c r="H58" s="118">
        <f t="shared" si="5"/>
        <v>294061</v>
      </c>
      <c r="I58" s="118">
        <f t="shared" si="5"/>
        <v>294061</v>
      </c>
    </row>
    <row r="60" spans="1:14" ht="15" x14ac:dyDescent="0.25">
      <c r="A60" s="60" t="s">
        <v>6</v>
      </c>
      <c r="B60" s="60" t="s">
        <v>113</v>
      </c>
      <c r="F60" s="64" t="s">
        <v>91</v>
      </c>
      <c r="G60" s="64" t="s">
        <v>114</v>
      </c>
      <c r="H60" s="64" t="s">
        <v>116</v>
      </c>
      <c r="I60" s="64" t="s">
        <v>115</v>
      </c>
    </row>
    <row r="61" spans="1:14" ht="15" x14ac:dyDescent="0.25">
      <c r="C61" t="s">
        <v>169</v>
      </c>
      <c r="F61" s="65">
        <f>'CBS (Total)'!J45+'CBS (Total)'!J44+'CBS (Total)'!J29+'CBS (Total)'!J24+'CBS (Total)'!J18+'CBS (Total)'!J12+'CBS (Total)'!J5+'CBS (Total)'!J10</f>
        <v>2760309.3107027207</v>
      </c>
      <c r="G61" s="499">
        <f>'CBS (Total)'!L45+'CBS (Total)'!L44+'CBS (Total)'!L29+'CBS (Total)'!L24+'CBS (Total)'!L18+'CBS (Total)'!L12+'CBS (Total)'!L5+'CBS (Total)'!L10</f>
        <v>8860160.5126699544</v>
      </c>
      <c r="H61" s="499">
        <f>'CBS (Total)'!N45+'CBS (Total)'!N44+'CBS (Total)'!N29+'CBS (Total)'!N24+'CBS (Total)'!N18+'CBS (Total)'!N12+'CBS (Total)'!N5+'CBS (Total)'!N10</f>
        <v>26058312.801888801</v>
      </c>
      <c r="I61" s="499">
        <f>'CBS (Total)'!P45+'CBS (Total)'!P44+'CBS (Total)'!P29+'CBS (Total)'!P24+'CBS (Total)'!P18+'CBS (Total)'!P12+'CBS (Total)'!P5+'CBS (Total)'!P10</f>
        <v>45011160.789467819</v>
      </c>
      <c r="J61" s="499"/>
      <c r="K61" s="499"/>
      <c r="L61" s="499"/>
      <c r="M61" s="499"/>
      <c r="N61" s="499"/>
    </row>
    <row r="62" spans="1:14" ht="15" x14ac:dyDescent="0.25">
      <c r="C62" t="s">
        <v>168</v>
      </c>
      <c r="F62" s="45">
        <v>0.05</v>
      </c>
      <c r="G62" s="45">
        <v>0.03</v>
      </c>
      <c r="H62" s="45">
        <v>0.02</v>
      </c>
      <c r="I62" s="45">
        <v>1.4999999999999999E-2</v>
      </c>
    </row>
    <row r="63" spans="1:14" s="72" customFormat="1" ht="15" x14ac:dyDescent="0.25">
      <c r="F63" s="45"/>
      <c r="G63" s="45"/>
      <c r="H63" s="45"/>
      <c r="I63" s="45"/>
    </row>
    <row r="64" spans="1:14" ht="15" x14ac:dyDescent="0.25">
      <c r="C64" s="20" t="s">
        <v>84</v>
      </c>
      <c r="D64" s="20"/>
      <c r="E64" s="20"/>
      <c r="F64" s="238">
        <f>F62*F61</f>
        <v>138015.46553513603</v>
      </c>
      <c r="G64" s="238">
        <f t="shared" ref="G64:I64" si="6">G62*G61</f>
        <v>265804.81538009865</v>
      </c>
      <c r="H64" s="238">
        <f t="shared" si="6"/>
        <v>521166.25603777601</v>
      </c>
      <c r="I64" s="238">
        <f t="shared" si="6"/>
        <v>675167.41184201732</v>
      </c>
    </row>
    <row r="68" spans="1:3" s="317" customFormat="1" ht="15" x14ac:dyDescent="0.25">
      <c r="A68" s="241" t="s">
        <v>170</v>
      </c>
    </row>
    <row r="69" spans="1:3" s="317" customFormat="1" ht="15" x14ac:dyDescent="0.25">
      <c r="A69" s="533" t="s">
        <v>108</v>
      </c>
      <c r="B69" s="662" t="s">
        <v>554</v>
      </c>
      <c r="C69" s="533"/>
    </row>
    <row r="70" spans="1:3" s="533" customFormat="1" ht="15" x14ac:dyDescent="0.25">
      <c r="A70" s="533" t="s">
        <v>4</v>
      </c>
      <c r="B70" s="533" t="s">
        <v>556</v>
      </c>
    </row>
    <row r="71" spans="1:3" s="533" customFormat="1" ht="15" x14ac:dyDescent="0.25">
      <c r="A71" s="533" t="s">
        <v>6</v>
      </c>
      <c r="B71" s="661" t="s">
        <v>553</v>
      </c>
    </row>
    <row r="72" spans="1:3" s="533" customFormat="1" ht="15" x14ac:dyDescent="0.25"/>
    <row r="73" spans="1:3" s="317" customFormat="1" ht="15" x14ac:dyDescent="0.25">
      <c r="A73" s="241" t="s">
        <v>283</v>
      </c>
    </row>
    <row r="74" spans="1:3" s="317" customFormat="1" ht="15" x14ac:dyDescent="0.25">
      <c r="A74" s="317" t="s">
        <v>108</v>
      </c>
      <c r="B74" s="317" t="s">
        <v>284</v>
      </c>
    </row>
    <row r="75" spans="1:3" s="317" customFormat="1" ht="15" x14ac:dyDescent="0.25">
      <c r="A75" s="317" t="s">
        <v>109</v>
      </c>
      <c r="B75" s="317" t="s">
        <v>284</v>
      </c>
    </row>
    <row r="76" spans="1:3" s="317" customFormat="1" ht="15" x14ac:dyDescent="0.25">
      <c r="A76" s="317" t="s">
        <v>110</v>
      </c>
      <c r="B76" s="317" t="s">
        <v>284</v>
      </c>
    </row>
    <row r="77" spans="1:3" s="317" customFormat="1" x14ac:dyDescent="0.3">
      <c r="A77" s="317" t="s">
        <v>111</v>
      </c>
      <c r="B77" s="317" t="s">
        <v>284</v>
      </c>
    </row>
    <row r="78" spans="1:3" s="317" customFormat="1" x14ac:dyDescent="0.3">
      <c r="A78" s="533" t="s">
        <v>4</v>
      </c>
      <c r="B78" s="317" t="s">
        <v>555</v>
      </c>
    </row>
    <row r="79" spans="1:3" s="317" customFormat="1" x14ac:dyDescent="0.3">
      <c r="A79" s="533" t="s">
        <v>6</v>
      </c>
      <c r="B79" s="533" t="s">
        <v>546</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71"/>
  <sheetViews>
    <sheetView zoomScale="70" zoomScaleNormal="70" workbookViewId="0">
      <selection activeCell="C67" sqref="C67"/>
    </sheetView>
  </sheetViews>
  <sheetFormatPr defaultColWidth="9.109375" defaultRowHeight="14.4" x14ac:dyDescent="0.3"/>
  <cols>
    <col min="1" max="1" width="3.88671875" style="7" customWidth="1"/>
    <col min="2" max="2" width="6.109375" style="7" customWidth="1"/>
    <col min="3" max="3" width="53" style="7" customWidth="1"/>
    <col min="4" max="4" width="13.5546875" style="7" bestFit="1" customWidth="1"/>
    <col min="5" max="5" width="15.88671875" style="7" customWidth="1"/>
    <col min="6" max="6" width="19.33203125" style="7" customWidth="1"/>
    <col min="7" max="7" width="18.109375" style="7" customWidth="1"/>
    <col min="8" max="8" width="18" style="7" customWidth="1"/>
    <col min="9" max="16384" width="9.109375" style="7"/>
  </cols>
  <sheetData>
    <row r="1" spans="1:8" s="12" customFormat="1" ht="15" x14ac:dyDescent="0.25">
      <c r="A1" s="535" t="s">
        <v>364</v>
      </c>
    </row>
    <row r="2" spans="1:8" s="12" customFormat="1" ht="15" x14ac:dyDescent="0.25"/>
    <row r="3" spans="1:8" s="12" customFormat="1" ht="15" x14ac:dyDescent="0.25">
      <c r="A3" s="13" t="s">
        <v>117</v>
      </c>
      <c r="D3" s="12" t="s">
        <v>68</v>
      </c>
      <c r="E3" s="12">
        <v>1</v>
      </c>
      <c r="F3" s="12">
        <v>10</v>
      </c>
      <c r="G3" s="12">
        <v>50</v>
      </c>
      <c r="H3" s="12">
        <v>100</v>
      </c>
    </row>
    <row r="4" spans="1:8" s="12" customFormat="1" ht="15" x14ac:dyDescent="0.25">
      <c r="A4" s="13"/>
      <c r="B4" s="12" t="s">
        <v>9</v>
      </c>
      <c r="C4" s="12" t="s">
        <v>321</v>
      </c>
      <c r="E4" s="42">
        <f>D38</f>
        <v>43200</v>
      </c>
      <c r="F4" s="598">
        <f t="shared" ref="F4:H4" si="0">E38</f>
        <v>108000</v>
      </c>
      <c r="G4" s="598">
        <f t="shared" si="0"/>
        <v>475200</v>
      </c>
      <c r="H4" s="598">
        <f t="shared" si="0"/>
        <v>907200</v>
      </c>
    </row>
    <row r="5" spans="1:8" s="12" customFormat="1" ht="15" x14ac:dyDescent="0.25">
      <c r="A5" s="13"/>
      <c r="B5" s="12" t="s">
        <v>11</v>
      </c>
      <c r="C5" s="12" t="s">
        <v>171</v>
      </c>
      <c r="E5" s="42">
        <f>D45</f>
        <v>4320</v>
      </c>
      <c r="F5" s="598">
        <f t="shared" ref="F5:H5" si="1">E45</f>
        <v>10800</v>
      </c>
      <c r="G5" s="598">
        <f t="shared" si="1"/>
        <v>47520</v>
      </c>
      <c r="H5" s="598">
        <f t="shared" si="1"/>
        <v>90720</v>
      </c>
    </row>
    <row r="6" spans="1:8" s="67" customFormat="1" ht="15" x14ac:dyDescent="0.25">
      <c r="A6" s="60"/>
      <c r="B6" s="67" t="s">
        <v>14</v>
      </c>
      <c r="C6" s="67" t="s">
        <v>15</v>
      </c>
      <c r="E6" s="353">
        <f>D52</f>
        <v>0</v>
      </c>
      <c r="F6" s="492">
        <f t="shared" ref="F6:H6" si="2">E52</f>
        <v>0</v>
      </c>
      <c r="G6" s="492">
        <f t="shared" si="2"/>
        <v>0</v>
      </c>
      <c r="H6" s="492">
        <f t="shared" si="2"/>
        <v>0</v>
      </c>
    </row>
    <row r="7" spans="1:8" s="67" customFormat="1" ht="15" x14ac:dyDescent="0.25">
      <c r="A7" s="60"/>
      <c r="B7" s="67" t="s">
        <v>16</v>
      </c>
      <c r="C7" s="67" t="s">
        <v>61</v>
      </c>
      <c r="E7" s="42">
        <f>D59</f>
        <v>100000</v>
      </c>
      <c r="F7" s="492">
        <f t="shared" ref="F7:H7" si="3">E59</f>
        <v>100000</v>
      </c>
      <c r="G7" s="492">
        <f t="shared" si="3"/>
        <v>200000</v>
      </c>
      <c r="H7" s="492">
        <f t="shared" si="3"/>
        <v>400000</v>
      </c>
    </row>
    <row r="8" spans="1:8" s="67" customFormat="1" ht="15" x14ac:dyDescent="0.25">
      <c r="A8" s="60"/>
      <c r="B8" s="67" t="s">
        <v>17</v>
      </c>
      <c r="C8" s="67" t="s">
        <v>18</v>
      </c>
      <c r="E8" s="65"/>
      <c r="F8" s="65"/>
      <c r="G8" s="65"/>
      <c r="H8" s="65"/>
    </row>
    <row r="9" spans="1:8" s="67" customFormat="1" ht="15" x14ac:dyDescent="0.25">
      <c r="A9" s="60"/>
      <c r="D9" s="42"/>
      <c r="E9" s="42"/>
      <c r="F9" s="42"/>
      <c r="G9" s="42"/>
    </row>
    <row r="10" spans="1:8" s="67" customFormat="1" ht="15" x14ac:dyDescent="0.25">
      <c r="A10" s="60"/>
      <c r="B10" s="247"/>
      <c r="C10" s="247" t="s">
        <v>106</v>
      </c>
      <c r="D10" s="248"/>
      <c r="E10" s="248">
        <f>SUM(E4:E8)</f>
        <v>147520</v>
      </c>
      <c r="F10" s="354">
        <f t="shared" ref="F10:H10" si="4">SUM(F4:F8)</f>
        <v>218800</v>
      </c>
      <c r="G10" s="354">
        <f t="shared" si="4"/>
        <v>722720</v>
      </c>
      <c r="H10" s="354">
        <f t="shared" si="4"/>
        <v>1397920</v>
      </c>
    </row>
    <row r="11" spans="1:8" s="67" customFormat="1" ht="15" x14ac:dyDescent="0.25">
      <c r="A11" s="60"/>
      <c r="D11" s="42"/>
      <c r="E11" s="42"/>
      <c r="F11" s="42"/>
      <c r="G11" s="42"/>
    </row>
    <row r="12" spans="1:8" s="12" customFormat="1" ht="15" x14ac:dyDescent="0.25"/>
    <row r="13" spans="1:8" s="12" customFormat="1" ht="15" x14ac:dyDescent="0.25"/>
    <row r="14" spans="1:8" ht="15" x14ac:dyDescent="0.25">
      <c r="A14" s="10"/>
      <c r="B14" s="10"/>
    </row>
    <row r="15" spans="1:8" ht="15" x14ac:dyDescent="0.25">
      <c r="A15" s="60" t="s">
        <v>496</v>
      </c>
      <c r="E15" s="498" t="s">
        <v>467</v>
      </c>
      <c r="F15" s="7" t="s">
        <v>68</v>
      </c>
    </row>
    <row r="16" spans="1:8" s="486" customFormat="1" ht="15" x14ac:dyDescent="0.25">
      <c r="A16" s="487"/>
      <c r="D16" s="641">
        <v>1</v>
      </c>
      <c r="E16" s="641">
        <v>10</v>
      </c>
      <c r="F16" s="641">
        <v>50</v>
      </c>
      <c r="G16" s="641">
        <v>100</v>
      </c>
    </row>
    <row r="17" spans="1:7" s="533" customFormat="1" ht="15" x14ac:dyDescent="0.25">
      <c r="A17" s="535"/>
      <c r="B17" s="533" t="s">
        <v>487</v>
      </c>
      <c r="D17" s="641"/>
      <c r="E17" s="641"/>
      <c r="F17" s="641"/>
      <c r="G17" s="641"/>
    </row>
    <row r="18" spans="1:7" s="533" customFormat="1" ht="15" x14ac:dyDescent="0.25">
      <c r="A18" s="535"/>
      <c r="C18" s="533" t="s">
        <v>495</v>
      </c>
      <c r="D18" s="641">
        <v>1</v>
      </c>
      <c r="E18" s="641">
        <v>1</v>
      </c>
      <c r="F18" s="641">
        <v>1</v>
      </c>
      <c r="G18" s="641">
        <v>2</v>
      </c>
    </row>
    <row r="19" spans="1:7" s="533" customFormat="1" ht="15" x14ac:dyDescent="0.25">
      <c r="A19" s="535"/>
      <c r="C19" s="533" t="s">
        <v>479</v>
      </c>
      <c r="D19" s="642">
        <v>300</v>
      </c>
      <c r="E19" s="642">
        <v>300</v>
      </c>
      <c r="F19" s="642">
        <v>300</v>
      </c>
      <c r="G19" s="642">
        <v>300</v>
      </c>
    </row>
    <row r="20" spans="1:7" s="533" customFormat="1" ht="15" x14ac:dyDescent="0.25">
      <c r="A20" s="535"/>
      <c r="C20" s="533" t="s">
        <v>480</v>
      </c>
      <c r="D20" s="642">
        <v>300</v>
      </c>
      <c r="E20" s="642">
        <v>300</v>
      </c>
      <c r="F20" s="642">
        <v>300</v>
      </c>
      <c r="G20" s="642">
        <v>300</v>
      </c>
    </row>
    <row r="21" spans="1:7" s="533" customFormat="1" ht="15" x14ac:dyDescent="0.25">
      <c r="A21" s="535"/>
      <c r="C21" s="533" t="s">
        <v>481</v>
      </c>
      <c r="D21" s="641">
        <v>70</v>
      </c>
      <c r="E21" s="641">
        <v>70</v>
      </c>
      <c r="F21" s="641">
        <v>70</v>
      </c>
      <c r="G21" s="641">
        <v>70</v>
      </c>
    </row>
    <row r="22" spans="1:7" s="533" customFormat="1" ht="15" x14ac:dyDescent="0.25">
      <c r="A22" s="535"/>
      <c r="C22" s="533" t="s">
        <v>482</v>
      </c>
      <c r="D22" s="641">
        <v>5</v>
      </c>
      <c r="E22" s="641">
        <v>5</v>
      </c>
      <c r="F22" s="641">
        <v>5</v>
      </c>
      <c r="G22" s="641">
        <v>5</v>
      </c>
    </row>
    <row r="23" spans="1:7" s="533" customFormat="1" ht="15" x14ac:dyDescent="0.25">
      <c r="A23" s="535"/>
      <c r="C23" s="533" t="s">
        <v>483</v>
      </c>
      <c r="D23" s="642">
        <f>D16/D22</f>
        <v>0.2</v>
      </c>
      <c r="E23" s="642">
        <f t="shared" ref="E23:G23" si="5">E16/E22</f>
        <v>2</v>
      </c>
      <c r="F23" s="642">
        <f t="shared" si="5"/>
        <v>10</v>
      </c>
      <c r="G23" s="642">
        <f t="shared" si="5"/>
        <v>20</v>
      </c>
    </row>
    <row r="24" spans="1:7" s="533" customFormat="1" ht="15" x14ac:dyDescent="0.25">
      <c r="A24" s="535"/>
      <c r="C24" s="533" t="s">
        <v>484</v>
      </c>
      <c r="D24" s="641">
        <v>0</v>
      </c>
      <c r="E24" s="641">
        <f>E23*(E22-1)</f>
        <v>8</v>
      </c>
      <c r="F24" s="641">
        <f t="shared" ref="F24:G24" si="6">F23*(F22-1)</f>
        <v>40</v>
      </c>
      <c r="G24" s="641">
        <f t="shared" si="6"/>
        <v>80</v>
      </c>
    </row>
    <row r="25" spans="1:7" s="533" customFormat="1" ht="15" x14ac:dyDescent="0.25">
      <c r="A25" s="535"/>
      <c r="C25" s="533" t="s">
        <v>485</v>
      </c>
      <c r="D25" s="642">
        <f>D21*2</f>
        <v>140</v>
      </c>
      <c r="E25" s="642">
        <f t="shared" ref="E25:G25" si="7">E21*2</f>
        <v>140</v>
      </c>
      <c r="F25" s="642">
        <f t="shared" si="7"/>
        <v>140</v>
      </c>
      <c r="G25" s="642">
        <f t="shared" si="7"/>
        <v>140</v>
      </c>
    </row>
    <row r="26" spans="1:7" s="533" customFormat="1" ht="15" x14ac:dyDescent="0.25">
      <c r="A26" s="535"/>
      <c r="C26" s="533" t="s">
        <v>486</v>
      </c>
      <c r="D26" s="642">
        <f>D25*D24</f>
        <v>0</v>
      </c>
      <c r="E26" s="642">
        <f t="shared" ref="E26:G26" si="8">E25*E24</f>
        <v>1120</v>
      </c>
      <c r="F26" s="642">
        <f t="shared" si="8"/>
        <v>5600</v>
      </c>
      <c r="G26" s="642">
        <f t="shared" si="8"/>
        <v>11200</v>
      </c>
    </row>
    <row r="27" spans="1:7" s="533" customFormat="1" ht="15" x14ac:dyDescent="0.25">
      <c r="A27" s="535"/>
      <c r="C27" s="533" t="s">
        <v>488</v>
      </c>
      <c r="D27" s="642">
        <f>(D19+D20*D23)*1.2</f>
        <v>432</v>
      </c>
      <c r="E27" s="642">
        <f t="shared" ref="E27:G27" si="9">(E19+E20*E23)*1.2</f>
        <v>1080</v>
      </c>
      <c r="F27" s="642">
        <f t="shared" si="9"/>
        <v>3960</v>
      </c>
      <c r="G27" s="642">
        <f t="shared" si="9"/>
        <v>7560</v>
      </c>
    </row>
    <row r="28" spans="1:7" s="533" customFormat="1" ht="15" x14ac:dyDescent="0.25">
      <c r="A28" s="535"/>
      <c r="B28" s="533" t="s">
        <v>489</v>
      </c>
      <c r="D28" s="86"/>
      <c r="E28" s="110"/>
      <c r="F28" s="498"/>
      <c r="G28" s="498"/>
    </row>
    <row r="29" spans="1:7" s="533" customFormat="1" ht="15" x14ac:dyDescent="0.25">
      <c r="A29" s="535"/>
      <c r="C29" s="533" t="s">
        <v>490</v>
      </c>
      <c r="D29" s="657">
        <f>89.5*D16/1000</f>
        <v>8.9499999999999996E-2</v>
      </c>
      <c r="E29" s="657">
        <f t="shared" ref="E29:G29" si="10">89.5*E16/1000</f>
        <v>0.89500000000000002</v>
      </c>
      <c r="F29" s="657">
        <f t="shared" si="10"/>
        <v>4.4749999999999996</v>
      </c>
      <c r="G29" s="657">
        <f t="shared" si="10"/>
        <v>8.9499999999999993</v>
      </c>
    </row>
    <row r="30" spans="1:7" s="533" customFormat="1" ht="15" x14ac:dyDescent="0.25">
      <c r="A30" s="535"/>
      <c r="C30" s="533" t="s">
        <v>491</v>
      </c>
      <c r="D30" s="641">
        <v>11</v>
      </c>
      <c r="E30" s="641">
        <v>11</v>
      </c>
      <c r="F30" s="641">
        <v>11</v>
      </c>
      <c r="G30" s="641">
        <v>11</v>
      </c>
    </row>
    <row r="31" spans="1:7" s="533" customFormat="1" ht="15" x14ac:dyDescent="0.25">
      <c r="A31" s="535"/>
      <c r="C31" s="533" t="s">
        <v>492</v>
      </c>
      <c r="D31" s="642">
        <v>50</v>
      </c>
      <c r="E31" s="642">
        <v>50</v>
      </c>
      <c r="F31" s="642">
        <v>95</v>
      </c>
      <c r="G31" s="642">
        <v>95</v>
      </c>
    </row>
    <row r="32" spans="1:7" s="533" customFormat="1" ht="15" x14ac:dyDescent="0.25">
      <c r="A32" s="535"/>
      <c r="C32" s="533" t="s">
        <v>493</v>
      </c>
      <c r="D32" s="642">
        <v>230</v>
      </c>
      <c r="E32" s="642">
        <v>230</v>
      </c>
      <c r="F32" s="642">
        <v>300</v>
      </c>
      <c r="G32" s="642">
        <v>300</v>
      </c>
    </row>
    <row r="33" spans="1:7" s="533" customFormat="1" ht="15" x14ac:dyDescent="0.25">
      <c r="A33" s="535"/>
      <c r="C33" s="533" t="s">
        <v>494</v>
      </c>
      <c r="D33" s="643">
        <f>D30*D32*SQRT(3)/1000</f>
        <v>4.3820885431492593</v>
      </c>
      <c r="E33" s="643">
        <f t="shared" ref="E33:G33" si="11">E30*E32*SQRT(3)/1000</f>
        <v>4.3820885431492593</v>
      </c>
      <c r="F33" s="643">
        <f t="shared" si="11"/>
        <v>5.715767664977295</v>
      </c>
      <c r="G33" s="643">
        <f t="shared" si="11"/>
        <v>5.715767664977295</v>
      </c>
    </row>
    <row r="34" spans="1:7" s="533" customFormat="1" ht="15" x14ac:dyDescent="0.25">
      <c r="A34" s="535"/>
      <c r="B34" s="533" t="s">
        <v>84</v>
      </c>
      <c r="D34" s="86"/>
      <c r="E34" s="110"/>
      <c r="F34" s="498"/>
      <c r="G34" s="498"/>
    </row>
    <row r="35" spans="1:7" s="533" customFormat="1" ht="15" x14ac:dyDescent="0.25">
      <c r="A35" s="535"/>
      <c r="C35" s="533" t="s">
        <v>497</v>
      </c>
      <c r="D35" s="644">
        <v>100</v>
      </c>
      <c r="E35" s="644">
        <v>100</v>
      </c>
      <c r="F35" s="644">
        <v>120</v>
      </c>
      <c r="G35" s="644">
        <v>120</v>
      </c>
    </row>
    <row r="36" spans="1:7" s="533" customFormat="1" ht="15" x14ac:dyDescent="0.25">
      <c r="A36" s="535"/>
      <c r="C36" s="533" t="s">
        <v>535</v>
      </c>
      <c r="D36" s="644">
        <v>0</v>
      </c>
      <c r="E36" s="644">
        <v>0</v>
      </c>
      <c r="F36" s="644">
        <v>0</v>
      </c>
      <c r="G36" s="644">
        <v>0</v>
      </c>
    </row>
    <row r="37" spans="1:7" s="533" customFormat="1" ht="15" x14ac:dyDescent="0.25">
      <c r="A37" s="535"/>
      <c r="D37" s="86"/>
      <c r="E37" s="110"/>
      <c r="F37" s="498"/>
      <c r="G37" s="498"/>
    </row>
    <row r="38" spans="1:7" s="533" customFormat="1" ht="15" x14ac:dyDescent="0.25">
      <c r="A38" s="535"/>
      <c r="C38" s="351" t="s">
        <v>86</v>
      </c>
      <c r="D38" s="645">
        <f>D35*D27+D36*D26</f>
        <v>43200</v>
      </c>
      <c r="E38" s="645">
        <f t="shared" ref="E38:G38" si="12">E35*E27+E36*E26</f>
        <v>108000</v>
      </c>
      <c r="F38" s="645">
        <f t="shared" si="12"/>
        <v>475200</v>
      </c>
      <c r="G38" s="645">
        <f t="shared" si="12"/>
        <v>907200</v>
      </c>
    </row>
    <row r="39" spans="1:7" s="533" customFormat="1" ht="15" x14ac:dyDescent="0.25">
      <c r="A39" s="535"/>
      <c r="D39" s="86"/>
      <c r="E39" s="110"/>
      <c r="F39" s="498"/>
      <c r="G39" s="498"/>
    </row>
    <row r="41" spans="1:7" ht="15" x14ac:dyDescent="0.25">
      <c r="A41" s="60" t="s">
        <v>172</v>
      </c>
      <c r="B41" s="60"/>
      <c r="C41" s="60"/>
    </row>
    <row r="42" spans="1:7" s="486" customFormat="1" ht="15" x14ac:dyDescent="0.25">
      <c r="A42" s="487"/>
      <c r="B42" s="487"/>
      <c r="C42" s="487"/>
      <c r="D42" s="86" t="s">
        <v>91</v>
      </c>
      <c r="E42" s="110" t="s">
        <v>114</v>
      </c>
      <c r="F42" s="64" t="s">
        <v>116</v>
      </c>
      <c r="G42" s="64" t="s">
        <v>115</v>
      </c>
    </row>
    <row r="43" spans="1:7" s="72" customFormat="1" ht="15" x14ac:dyDescent="0.25">
      <c r="C43" s="72" t="s">
        <v>498</v>
      </c>
      <c r="D43" s="250">
        <f>10%*D38</f>
        <v>4320</v>
      </c>
      <c r="E43" s="473">
        <f t="shared" ref="E43:G43" si="13">10%*E38</f>
        <v>10800</v>
      </c>
      <c r="F43" s="473">
        <f t="shared" si="13"/>
        <v>47520</v>
      </c>
      <c r="G43" s="473">
        <f t="shared" si="13"/>
        <v>90720</v>
      </c>
    </row>
    <row r="44" spans="1:7" s="72" customFormat="1" ht="15" x14ac:dyDescent="0.25">
      <c r="D44" s="237"/>
      <c r="E44" s="237"/>
      <c r="F44" s="237"/>
      <c r="G44" s="237"/>
    </row>
    <row r="45" spans="1:7" s="72" customFormat="1" ht="15" x14ac:dyDescent="0.25">
      <c r="C45" s="20" t="s">
        <v>84</v>
      </c>
      <c r="D45" s="21">
        <f>SUM(D43:D44)</f>
        <v>4320</v>
      </c>
      <c r="E45" s="354">
        <f t="shared" ref="E45:G45" si="14">SUM(E43:E44)</f>
        <v>10800</v>
      </c>
      <c r="F45" s="354">
        <f t="shared" si="14"/>
        <v>47520</v>
      </c>
      <c r="G45" s="354">
        <f t="shared" si="14"/>
        <v>90720</v>
      </c>
    </row>
    <row r="46" spans="1:7" ht="15" x14ac:dyDescent="0.25">
      <c r="D46" s="8"/>
    </row>
    <row r="47" spans="1:7" ht="15" x14ac:dyDescent="0.25">
      <c r="A47" s="60" t="s">
        <v>147</v>
      </c>
      <c r="B47" s="60"/>
      <c r="D47" s="8"/>
    </row>
    <row r="48" spans="1:7" s="486" customFormat="1" ht="15" x14ac:dyDescent="0.25">
      <c r="A48" s="487"/>
      <c r="B48" s="487"/>
      <c r="D48" s="86" t="s">
        <v>91</v>
      </c>
      <c r="E48" s="498" t="s">
        <v>114</v>
      </c>
      <c r="F48" s="498" t="s">
        <v>116</v>
      </c>
      <c r="G48" s="498" t="s">
        <v>115</v>
      </c>
    </row>
    <row r="49" spans="1:7" s="486" customFormat="1" ht="15" x14ac:dyDescent="0.25">
      <c r="A49" s="487"/>
      <c r="B49" s="487"/>
      <c r="D49" s="492"/>
    </row>
    <row r="50" spans="1:7" s="486" customFormat="1" ht="15" x14ac:dyDescent="0.25">
      <c r="A50" s="487"/>
      <c r="B50" s="487"/>
      <c r="C50" s="486" t="s">
        <v>499</v>
      </c>
      <c r="D50" s="492"/>
    </row>
    <row r="51" spans="1:7" s="486" customFormat="1" ht="15" x14ac:dyDescent="0.25">
      <c r="A51" s="487"/>
      <c r="B51" s="487"/>
      <c r="D51" s="492"/>
    </row>
    <row r="52" spans="1:7" s="72" customFormat="1" ht="15" x14ac:dyDescent="0.25">
      <c r="C52" s="351" t="s">
        <v>84</v>
      </c>
      <c r="D52" s="354">
        <v>0</v>
      </c>
      <c r="E52" s="354">
        <v>0</v>
      </c>
      <c r="F52" s="354">
        <v>0</v>
      </c>
      <c r="G52" s="354">
        <v>0</v>
      </c>
    </row>
    <row r="53" spans="1:7" s="12" customFormat="1" ht="15" x14ac:dyDescent="0.25">
      <c r="D53" s="18"/>
    </row>
    <row r="54" spans="1:7" s="12" customFormat="1" ht="15" x14ac:dyDescent="0.25">
      <c r="A54" s="60" t="s">
        <v>148</v>
      </c>
      <c r="B54" s="60"/>
      <c r="D54" s="18"/>
    </row>
    <row r="55" spans="1:7" s="486" customFormat="1" ht="15" x14ac:dyDescent="0.25">
      <c r="A55" s="487"/>
      <c r="B55" s="487"/>
      <c r="C55" s="487"/>
      <c r="D55" s="86" t="s">
        <v>91</v>
      </c>
      <c r="E55" s="110" t="s">
        <v>114</v>
      </c>
      <c r="F55" s="472" t="s">
        <v>116</v>
      </c>
      <c r="G55" s="472" t="s">
        <v>115</v>
      </c>
    </row>
    <row r="56" spans="1:7" s="486" customFormat="1" ht="15" x14ac:dyDescent="0.25">
      <c r="A56" s="487"/>
      <c r="B56" s="487"/>
      <c r="C56" s="486" t="s">
        <v>501</v>
      </c>
      <c r="D56" s="36">
        <v>1</v>
      </c>
      <c r="E56" s="36">
        <v>1</v>
      </c>
      <c r="F56" s="36">
        <v>2</v>
      </c>
      <c r="G56" s="36">
        <v>4</v>
      </c>
    </row>
    <row r="57" spans="1:7" s="486" customFormat="1" ht="15" x14ac:dyDescent="0.25">
      <c r="A57" s="487"/>
      <c r="B57" s="487"/>
      <c r="C57" s="486" t="s">
        <v>500</v>
      </c>
      <c r="D57" s="473">
        <v>100000</v>
      </c>
      <c r="E57" s="473">
        <v>100000</v>
      </c>
      <c r="F57" s="473">
        <v>100000</v>
      </c>
      <c r="G57" s="473">
        <v>100000</v>
      </c>
    </row>
    <row r="58" spans="1:7" s="486" customFormat="1" x14ac:dyDescent="0.3">
      <c r="A58" s="487"/>
      <c r="B58" s="487"/>
      <c r="D58" s="492"/>
      <c r="E58" s="471"/>
    </row>
    <row r="59" spans="1:7" x14ac:dyDescent="0.3">
      <c r="C59" s="351" t="s">
        <v>84</v>
      </c>
      <c r="D59" s="354">
        <f>D57*D56</f>
        <v>100000</v>
      </c>
      <c r="E59" s="354">
        <f t="shared" ref="E59:G59" si="15">E57*E56</f>
        <v>100000</v>
      </c>
      <c r="F59" s="354">
        <f t="shared" si="15"/>
        <v>200000</v>
      </c>
      <c r="G59" s="354">
        <f t="shared" si="15"/>
        <v>400000</v>
      </c>
    </row>
    <row r="61" spans="1:7" s="533" customFormat="1" x14ac:dyDescent="0.3">
      <c r="A61" s="535" t="s">
        <v>170</v>
      </c>
    </row>
    <row r="62" spans="1:7" s="533" customFormat="1" x14ac:dyDescent="0.3">
      <c r="A62" s="535"/>
      <c r="B62" s="533" t="s">
        <v>9</v>
      </c>
      <c r="C62" s="533" t="s">
        <v>502</v>
      </c>
    </row>
    <row r="63" spans="1:7" s="533" customFormat="1" x14ac:dyDescent="0.3">
      <c r="B63" s="533" t="s">
        <v>11</v>
      </c>
      <c r="C63" s="533" t="s">
        <v>503</v>
      </c>
    </row>
    <row r="64" spans="1:7" s="533" customFormat="1" x14ac:dyDescent="0.3">
      <c r="B64" s="533" t="s">
        <v>14</v>
      </c>
      <c r="C64" s="662" t="s">
        <v>557</v>
      </c>
    </row>
    <row r="65" spans="1:3" s="533" customFormat="1" x14ac:dyDescent="0.3">
      <c r="B65" s="533" t="s">
        <v>16</v>
      </c>
      <c r="C65" s="533" t="s">
        <v>504</v>
      </c>
    </row>
    <row r="66" spans="1:3" s="533" customFormat="1" x14ac:dyDescent="0.3"/>
    <row r="67" spans="1:3" s="317" customFormat="1" x14ac:dyDescent="0.3">
      <c r="A67" s="241" t="s">
        <v>283</v>
      </c>
    </row>
    <row r="68" spans="1:3" s="317" customFormat="1" x14ac:dyDescent="0.3">
      <c r="B68" s="317" t="s">
        <v>9</v>
      </c>
      <c r="C68" s="317" t="s">
        <v>375</v>
      </c>
    </row>
    <row r="69" spans="1:3" s="317" customFormat="1" x14ac:dyDescent="0.3">
      <c r="B69" s="317" t="s">
        <v>11</v>
      </c>
      <c r="C69" s="533" t="s">
        <v>375</v>
      </c>
    </row>
    <row r="70" spans="1:3" s="317" customFormat="1" x14ac:dyDescent="0.3">
      <c r="B70" s="317" t="s">
        <v>14</v>
      </c>
      <c r="C70" s="533" t="s">
        <v>375</v>
      </c>
    </row>
    <row r="71" spans="1:3" s="317" customFormat="1" x14ac:dyDescent="0.3">
      <c r="B71" s="317" t="s">
        <v>16</v>
      </c>
      <c r="C71" s="533" t="s">
        <v>375</v>
      </c>
    </row>
  </sheetData>
  <pageMargins left="0.7" right="0.7" top="0.75" bottom="0.75" header="0.3" footer="0.3"/>
  <pageSetup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631C712E52981488C6D6351BCD57B56" ma:contentTypeVersion="0" ma:contentTypeDescription="Create a new document." ma:contentTypeScope="" ma:versionID="52e151b38793cf5211269c2c0594668f">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A4DE9B-DD1C-42EA-9564-77FAC6BAD015}">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9D42DDF-84A6-414E-BD29-5E0FA9452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6C4BD26-776E-4D36-8934-54BD54F243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About</vt:lpstr>
      <vt:lpstr>Report Tables</vt:lpstr>
      <vt:lpstr>Report Graphs</vt:lpstr>
      <vt:lpstr>Performance &amp; Economics</vt:lpstr>
      <vt:lpstr>CBS (CoE)</vt:lpstr>
      <vt:lpstr>CBS ($ per kW)</vt:lpstr>
      <vt:lpstr>CBS (Total)</vt:lpstr>
      <vt:lpstr>1.1</vt:lpstr>
      <vt:lpstr>1.2</vt:lpstr>
      <vt:lpstr>1.3</vt:lpstr>
      <vt:lpstr>1.4</vt:lpstr>
      <vt:lpstr>1.5</vt:lpstr>
      <vt:lpstr>1.6</vt:lpstr>
      <vt:lpstr>1.7</vt:lpstr>
      <vt:lpstr>1.8</vt:lpstr>
      <vt:lpstr>1.9</vt:lpstr>
      <vt:lpstr>2.1</vt:lpstr>
      <vt:lpstr>2.2</vt:lpstr>
      <vt:lpstr>2.3</vt:lpstr>
      <vt:lpstr>2.4</vt:lpstr>
      <vt:lpstr>2.5</vt:lpstr>
      <vt:lpstr>2.6</vt:lpstr>
      <vt:lpstr>'1.7'!_Ref289344426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dc:creator>
  <cp:lastModifiedBy>Neary, Vincent</cp:lastModifiedBy>
  <dcterms:created xsi:type="dcterms:W3CDTF">2012-04-25T12:13:03Z</dcterms:created>
  <dcterms:modified xsi:type="dcterms:W3CDTF">2014-01-23T18:29:17Z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0x0101007631C712E52981488C6D6351BCD57B56</vt:lpwstr>
  </property>
</Properties>
</file>